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<sst xmlns="http://schemas.openxmlformats.org/spreadsheetml/2006/main" count="29" uniqueCount="15">
  <si>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I</t>
  </si>
  <si>
    <t>1 SD</t>
  </si>
  <si>
    <t>2SD</t>
  </si>
  <si>
    <t>III</t>
  </si>
  <si>
    <t>V</t>
  </si>
  <si>
    <t>I-III</t>
  </si>
  <si>
    <t>III-V</t>
  </si>
  <si>
    <t>I-V</t>
  </si>
  <si>
    <t>Gestational Age (WEEKS)</t>
  </si>
  <si>
    <t>SD</t>
  </si>
  <si>
    <t>High Limit</t>
  </si>
  <si>
    <t>Age (WEEKS)</t>
  </si>
  <si>
    <t>Age (MONTHS)</t>
  </si>
  <si>
    <t>Age (YEARS)</t>
  </si>
  <si>
    <r>
      <t>Base</t>
    </r>
    <r>
      <rPr>
        <b/>
        <sz val="11"/>
        <rFont val="Arial"/>
        <family val="2"/>
      </rPr>
      <t xml:space="preserve"> (Adult Norm)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</si>
</sst>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7"/>
      <color indexed="12"/>
      <name val="Arial"/>
      <family val="2"/>
    </font>
    <font>
      <u val="single"/>
      <sz val="17"/>
      <color indexed="36"/>
      <name val="Arial"/>
      <family val="2"/>
    </font>
    <font>
      <b/>
      <sz val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2" fontId="3" fillId="24" borderId="17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8" borderId="17" xfId="0" applyNumberFormat="1" applyFont="1" applyFill="1" applyBorder="1" applyAlignment="1">
      <alignment horizontal="center"/>
    </xf>
    <xf numFmtId="2" fontId="3" fillId="29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3" fillId="30" borderId="20" xfId="0" applyFont="1" applyFill="1" applyBorder="1" applyAlignment="1">
      <alignment horizontal="center"/>
    </xf>
    <xf numFmtId="2" fontId="3" fillId="24" borderId="21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25" borderId="21" xfId="0" applyNumberFormat="1" applyFont="1" applyFill="1" applyBorder="1" applyAlignment="1">
      <alignment horizontal="center"/>
    </xf>
    <xf numFmtId="2" fontId="3" fillId="26" borderId="21" xfId="0" applyNumberFormat="1" applyFont="1" applyFill="1" applyBorder="1" applyAlignment="1">
      <alignment horizontal="center"/>
    </xf>
    <xf numFmtId="2" fontId="3" fillId="27" borderId="21" xfId="0" applyNumberFormat="1" applyFont="1" applyFill="1" applyBorder="1" applyAlignment="1">
      <alignment horizontal="center"/>
    </xf>
    <xf numFmtId="2" fontId="3" fillId="28" borderId="21" xfId="0" applyNumberFormat="1" applyFont="1" applyFill="1" applyBorder="1" applyAlignment="1">
      <alignment horizontal="center"/>
    </xf>
    <xf numFmtId="2" fontId="3" fillId="29" borderId="21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2" fontId="3" fillId="24" borderId="26" xfId="0" applyNumberFormat="1" applyFont="1" applyFill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3" fillId="25" borderId="26" xfId="0" applyNumberFormat="1" applyFont="1" applyFill="1" applyBorder="1" applyAlignment="1">
      <alignment horizontal="center"/>
    </xf>
    <xf numFmtId="2" fontId="3" fillId="26" borderId="26" xfId="0" applyNumberFormat="1" applyFont="1" applyFill="1" applyBorder="1" applyAlignment="1">
      <alignment horizontal="center"/>
    </xf>
    <xf numFmtId="2" fontId="3" fillId="27" borderId="26" xfId="0" applyNumberFormat="1" applyFont="1" applyFill="1" applyBorder="1" applyAlignment="1">
      <alignment horizontal="center"/>
    </xf>
    <xf numFmtId="2" fontId="3" fillId="28" borderId="26" xfId="0" applyNumberFormat="1" applyFont="1" applyFill="1" applyBorder="1" applyAlignment="1">
      <alignment horizontal="center"/>
    </xf>
    <xf numFmtId="2" fontId="3" fillId="29" borderId="2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0" xfId="0" applyFont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31" borderId="0" xfId="0" applyFont="1" applyFill="1" applyAlignment="1">
      <alignment horizontal="right"/>
    </xf>
    <xf numFmtId="2" fontId="1" fillId="31" borderId="0" xfId="0" applyNumberFormat="1" applyFont="1" applyFill="1" applyAlignment="1">
      <alignment horizontal="center"/>
    </xf>
    <xf numFmtId="0" fontId="3" fillId="30" borderId="22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textRotation="90" wrapText="1"/>
    </xf>
    <xf numFmtId="0" fontId="27" fillId="0" borderId="0" xfId="0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27" fillId="28" borderId="10" xfId="0" applyFont="1" applyFill="1" applyBorder="1" applyAlignment="1">
      <alignment horizontal="center"/>
    </xf>
    <xf numFmtId="0" fontId="27" fillId="29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7" fillId="30" borderId="22" xfId="0" applyFont="1" applyFill="1" applyBorder="1" applyAlignment="1">
      <alignment horizontal="center"/>
    </xf>
    <xf numFmtId="2" fontId="27" fillId="24" borderId="21" xfId="0" applyNumberFormat="1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27" fillId="25" borderId="21" xfId="0" applyNumberFormat="1" applyFont="1" applyFill="1" applyBorder="1" applyAlignment="1">
      <alignment horizontal="center"/>
    </xf>
    <xf numFmtId="2" fontId="27" fillId="26" borderId="21" xfId="0" applyNumberFormat="1" applyFont="1" applyFill="1" applyBorder="1" applyAlignment="1">
      <alignment horizontal="center"/>
    </xf>
    <xf numFmtId="2" fontId="27" fillId="27" borderId="21" xfId="0" applyNumberFormat="1" applyFont="1" applyFill="1" applyBorder="1" applyAlignment="1">
      <alignment horizontal="center"/>
    </xf>
    <xf numFmtId="2" fontId="27" fillId="28" borderId="21" xfId="0" applyNumberFormat="1" applyFont="1" applyFill="1" applyBorder="1" applyAlignment="1">
      <alignment horizontal="center"/>
    </xf>
    <xf numFmtId="2" fontId="27" fillId="29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50</xdr:row>
      <xdr:rowOff>247650</xdr:rowOff>
    </xdr:from>
    <xdr:to>
      <xdr:col>12</xdr:col>
      <xdr:colOff>266700</xdr:colOff>
      <xdr:row>53</xdr:row>
      <xdr:rowOff>9525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163050"/>
          <a:ext cx="2047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9.57421875" style="1" customWidth="1"/>
    <col min="2" max="2" width="7.28125" style="2" customWidth="1"/>
    <col min="3" max="3" width="5.140625" style="3" customWidth="1"/>
    <col min="4" max="4" width="5.7109375" style="3" customWidth="1"/>
    <col min="5" max="6" width="5.140625" style="3" customWidth="1"/>
    <col min="7" max="7" width="5.7109375" style="3" customWidth="1"/>
    <col min="8" max="9" width="5.140625" style="3" customWidth="1"/>
    <col min="10" max="10" width="5.7109375" style="3" customWidth="1"/>
    <col min="11" max="12" width="5.140625" style="3" customWidth="1"/>
    <col min="13" max="13" width="5.7109375" style="3" customWidth="1"/>
    <col min="14" max="15" width="5.140625" style="3" customWidth="1"/>
    <col min="16" max="16" width="5.7109375" style="3" customWidth="1"/>
    <col min="17" max="18" width="5.140625" style="3" customWidth="1"/>
    <col min="19" max="19" width="5.7109375" style="3" customWidth="1"/>
    <col min="20" max="20" width="5.140625" style="3" customWidth="1"/>
    <col min="21" max="16384" width="9.140625" style="3" customWidth="1"/>
  </cols>
  <sheetData>
    <row r="1" spans="1:66" s="16" customFormat="1" ht="15.75" customHeight="1">
      <c r="A1" s="4"/>
      <c r="B1" s="5"/>
      <c r="C1" s="6" t="s">
        <v>0</v>
      </c>
      <c r="D1" s="7" t="s">
        <v>1</v>
      </c>
      <c r="E1" s="8" t="s">
        <v>2</v>
      </c>
      <c r="F1" s="9" t="s">
        <v>3</v>
      </c>
      <c r="G1" s="7" t="s">
        <v>1</v>
      </c>
      <c r="H1" s="8" t="s">
        <v>2</v>
      </c>
      <c r="I1" s="10" t="s">
        <v>4</v>
      </c>
      <c r="J1" s="7" t="s">
        <v>1</v>
      </c>
      <c r="K1" s="8" t="s">
        <v>2</v>
      </c>
      <c r="L1" s="11" t="s">
        <v>5</v>
      </c>
      <c r="M1" s="7" t="s">
        <v>1</v>
      </c>
      <c r="N1" s="8" t="s">
        <v>2</v>
      </c>
      <c r="O1" s="12" t="s">
        <v>6</v>
      </c>
      <c r="P1" s="7" t="s">
        <v>1</v>
      </c>
      <c r="Q1" s="8" t="s">
        <v>2</v>
      </c>
      <c r="R1" s="13" t="s">
        <v>7</v>
      </c>
      <c r="S1" s="7" t="s">
        <v>1</v>
      </c>
      <c r="T1" s="8" t="s">
        <v>2</v>
      </c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21" s="27" customFormat="1" ht="13.5" customHeight="1">
      <c r="A2" s="76" t="s">
        <v>8</v>
      </c>
      <c r="B2" s="17">
        <v>32</v>
      </c>
      <c r="C2" s="18">
        <f>1.65+0.86</f>
        <v>2.51</v>
      </c>
      <c r="D2" s="19">
        <f aca="true" t="shared" si="0" ref="D2:E12">C2+0.24</f>
        <v>2.75</v>
      </c>
      <c r="E2" s="20">
        <f t="shared" si="0"/>
        <v>2.99</v>
      </c>
      <c r="F2" s="21">
        <f>3.76+1.63</f>
        <v>5.39</v>
      </c>
      <c r="G2" s="19">
        <f aca="true" t="shared" si="1" ref="G2:H12">F2+0.29</f>
        <v>5.68</v>
      </c>
      <c r="H2" s="20">
        <f t="shared" si="1"/>
        <v>5.97</v>
      </c>
      <c r="I2" s="22">
        <f>5.61+2.52</f>
        <v>8.13</v>
      </c>
      <c r="J2" s="19">
        <f aca="true" t="shared" si="2" ref="J2:K12">I2+0.29</f>
        <v>8.42</v>
      </c>
      <c r="K2" s="20">
        <f t="shared" si="2"/>
        <v>8.709999999999999</v>
      </c>
      <c r="L2" s="23">
        <f>2.11+0.83</f>
        <v>2.94</v>
      </c>
      <c r="M2" s="19">
        <f aca="true" t="shared" si="3" ref="M2:N12">L2+0.32</f>
        <v>3.26</v>
      </c>
      <c r="N2" s="20">
        <f t="shared" si="3"/>
        <v>3.5799999999999996</v>
      </c>
      <c r="O2" s="24">
        <f>1.86+1.1</f>
        <v>2.96</v>
      </c>
      <c r="P2" s="19">
        <f aca="true" t="shared" si="4" ref="P2:Q12">(O2+0.26)</f>
        <v>3.2199999999999998</v>
      </c>
      <c r="Q2" s="20">
        <f t="shared" si="4"/>
        <v>3.4799999999999995</v>
      </c>
      <c r="R2" s="25">
        <f>3.94+1.64</f>
        <v>5.58</v>
      </c>
      <c r="S2" s="19">
        <f aca="true" t="shared" si="5" ref="S2:T12">R2+0.33</f>
        <v>5.91</v>
      </c>
      <c r="T2" s="20">
        <f t="shared" si="5"/>
        <v>6.24</v>
      </c>
      <c r="U2" s="26"/>
    </row>
    <row r="3" spans="1:66" s="42" customFormat="1" ht="15">
      <c r="A3" s="76"/>
      <c r="B3" s="28">
        <v>33</v>
      </c>
      <c r="C3" s="29">
        <f>1.65+0.77</f>
        <v>2.42</v>
      </c>
      <c r="D3" s="30">
        <f t="shared" si="0"/>
        <v>2.66</v>
      </c>
      <c r="E3" s="31">
        <f t="shared" si="0"/>
        <v>2.9000000000000004</v>
      </c>
      <c r="F3" s="32">
        <f>3.76+1.54</f>
        <v>5.3</v>
      </c>
      <c r="G3" s="30">
        <f t="shared" si="1"/>
        <v>5.59</v>
      </c>
      <c r="H3" s="31">
        <f t="shared" si="1"/>
        <v>5.88</v>
      </c>
      <c r="I3" s="33">
        <f>5.61+2.35</f>
        <v>7.960000000000001</v>
      </c>
      <c r="J3" s="30">
        <f t="shared" si="2"/>
        <v>8.25</v>
      </c>
      <c r="K3" s="31">
        <f t="shared" si="2"/>
        <v>8.54</v>
      </c>
      <c r="L3" s="34">
        <f>2.11+0.81</f>
        <v>2.92</v>
      </c>
      <c r="M3" s="30">
        <f t="shared" si="3"/>
        <v>3.2399999999999998</v>
      </c>
      <c r="N3" s="31">
        <f t="shared" si="3"/>
        <v>3.5599999999999996</v>
      </c>
      <c r="O3" s="35">
        <f>1.86+0.88</f>
        <v>2.74</v>
      </c>
      <c r="P3" s="30">
        <f t="shared" si="4"/>
        <v>3</v>
      </c>
      <c r="Q3" s="31">
        <f t="shared" si="4"/>
        <v>3.26</v>
      </c>
      <c r="R3" s="36">
        <f>3.94+1.57</f>
        <v>5.51</v>
      </c>
      <c r="S3" s="30">
        <f t="shared" si="5"/>
        <v>5.84</v>
      </c>
      <c r="T3" s="31">
        <f t="shared" si="5"/>
        <v>6.17</v>
      </c>
      <c r="U3" s="37"/>
      <c r="V3" s="38"/>
      <c r="W3" s="38"/>
      <c r="X3" s="38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1"/>
    </row>
    <row r="4" spans="1:49" s="42" customFormat="1" ht="15">
      <c r="A4" s="76"/>
      <c r="B4" s="28">
        <v>34</v>
      </c>
      <c r="C4" s="29">
        <f>1.65+0.69</f>
        <v>2.34</v>
      </c>
      <c r="D4" s="30">
        <f t="shared" si="0"/>
        <v>2.58</v>
      </c>
      <c r="E4" s="31">
        <f t="shared" si="0"/>
        <v>2.8200000000000003</v>
      </c>
      <c r="F4" s="32">
        <f>3.76+1.45</f>
        <v>5.21</v>
      </c>
      <c r="G4" s="30">
        <f t="shared" si="1"/>
        <v>5.5</v>
      </c>
      <c r="H4" s="31">
        <f t="shared" si="1"/>
        <v>5.79</v>
      </c>
      <c r="I4" s="33">
        <f>5.61+2.19</f>
        <v>7.800000000000001</v>
      </c>
      <c r="J4" s="30">
        <f t="shared" si="2"/>
        <v>8.09</v>
      </c>
      <c r="K4" s="31">
        <f t="shared" si="2"/>
        <v>8.379999999999999</v>
      </c>
      <c r="L4" s="34">
        <f>2.11+0.78</f>
        <v>2.8899999999999997</v>
      </c>
      <c r="M4" s="30">
        <f t="shared" si="3"/>
        <v>3.2099999999999995</v>
      </c>
      <c r="N4" s="31">
        <f t="shared" si="3"/>
        <v>3.5299999999999994</v>
      </c>
      <c r="O4" s="35">
        <f>1.86+0.73</f>
        <v>2.59</v>
      </c>
      <c r="P4" s="30">
        <f t="shared" si="4"/>
        <v>2.8499999999999996</v>
      </c>
      <c r="Q4" s="31">
        <f t="shared" si="4"/>
        <v>3.1099999999999994</v>
      </c>
      <c r="R4" s="36">
        <f>3.94+1.5</f>
        <v>5.4399999999999995</v>
      </c>
      <c r="S4" s="30">
        <f t="shared" si="5"/>
        <v>5.77</v>
      </c>
      <c r="T4" s="31">
        <f t="shared" si="5"/>
        <v>6.1</v>
      </c>
      <c r="U4" s="37"/>
      <c r="V4" s="38"/>
      <c r="W4" s="38"/>
      <c r="X4" s="38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</row>
    <row r="5" spans="1:49" s="42" customFormat="1" ht="15">
      <c r="A5" s="76"/>
      <c r="B5" s="28">
        <v>35</v>
      </c>
      <c r="C5" s="29">
        <f>1.65+0.62</f>
        <v>2.27</v>
      </c>
      <c r="D5" s="30">
        <f t="shared" si="0"/>
        <v>2.51</v>
      </c>
      <c r="E5" s="31">
        <f t="shared" si="0"/>
        <v>2.75</v>
      </c>
      <c r="F5" s="32">
        <f>3.76+1.37</f>
        <v>5.13</v>
      </c>
      <c r="G5" s="30">
        <f t="shared" si="1"/>
        <v>5.42</v>
      </c>
      <c r="H5" s="31">
        <f t="shared" si="1"/>
        <v>5.71</v>
      </c>
      <c r="I5" s="33">
        <f>5.61+2.05</f>
        <v>7.66</v>
      </c>
      <c r="J5" s="30">
        <f t="shared" si="2"/>
        <v>7.95</v>
      </c>
      <c r="K5" s="31">
        <f t="shared" si="2"/>
        <v>8.24</v>
      </c>
      <c r="L5" s="34">
        <f>2.11+0.76</f>
        <v>2.87</v>
      </c>
      <c r="M5" s="30">
        <f t="shared" si="3"/>
        <v>3.19</v>
      </c>
      <c r="N5" s="31">
        <f t="shared" si="3"/>
        <v>3.51</v>
      </c>
      <c r="O5" s="35">
        <f>1.86+0.63</f>
        <v>2.49</v>
      </c>
      <c r="P5" s="30">
        <f t="shared" si="4"/>
        <v>2.75</v>
      </c>
      <c r="Q5" s="31">
        <f t="shared" si="4"/>
        <v>3.01</v>
      </c>
      <c r="R5" s="36">
        <f>3.94+1.44</f>
        <v>5.38</v>
      </c>
      <c r="S5" s="30">
        <f t="shared" si="5"/>
        <v>5.71</v>
      </c>
      <c r="T5" s="31">
        <f t="shared" si="5"/>
        <v>6.04</v>
      </c>
      <c r="U5" s="37"/>
      <c r="V5" s="38"/>
      <c r="W5" s="38"/>
      <c r="X5" s="38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</row>
    <row r="6" spans="1:49" s="42" customFormat="1" ht="15">
      <c r="A6" s="76"/>
      <c r="B6" s="28">
        <v>36</v>
      </c>
      <c r="C6" s="29">
        <f>1.65+0.56</f>
        <v>2.21</v>
      </c>
      <c r="D6" s="30">
        <f t="shared" si="0"/>
        <v>2.45</v>
      </c>
      <c r="E6" s="31">
        <f t="shared" si="0"/>
        <v>2.6900000000000004</v>
      </c>
      <c r="F6" s="32">
        <f>3.76+1.3</f>
        <v>5.06</v>
      </c>
      <c r="G6" s="30">
        <f t="shared" si="1"/>
        <v>5.35</v>
      </c>
      <c r="H6" s="31">
        <f t="shared" si="1"/>
        <v>5.64</v>
      </c>
      <c r="I6" s="33">
        <f>5.61+1.92</f>
        <v>7.53</v>
      </c>
      <c r="J6" s="30">
        <f t="shared" si="2"/>
        <v>7.82</v>
      </c>
      <c r="K6" s="31">
        <f t="shared" si="2"/>
        <v>8.11</v>
      </c>
      <c r="L6" s="34">
        <f>2.11+0.74</f>
        <v>2.8499999999999996</v>
      </c>
      <c r="M6" s="30">
        <f t="shared" si="3"/>
        <v>3.1699999999999995</v>
      </c>
      <c r="N6" s="31">
        <f t="shared" si="3"/>
        <v>3.4899999999999993</v>
      </c>
      <c r="O6" s="35">
        <f>1.86+0.56</f>
        <v>2.42</v>
      </c>
      <c r="P6" s="30">
        <f t="shared" si="4"/>
        <v>2.6799999999999997</v>
      </c>
      <c r="Q6" s="31">
        <f t="shared" si="4"/>
        <v>2.9399999999999995</v>
      </c>
      <c r="R6" s="36">
        <f>3.94+1.38</f>
        <v>5.32</v>
      </c>
      <c r="S6" s="30">
        <f t="shared" si="5"/>
        <v>5.65</v>
      </c>
      <c r="T6" s="31">
        <f t="shared" si="5"/>
        <v>5.98</v>
      </c>
      <c r="U6" s="37"/>
      <c r="V6" s="38"/>
      <c r="W6" s="38"/>
      <c r="X6" s="38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</row>
    <row r="7" spans="1:49" s="42" customFormat="1" ht="15">
      <c r="A7" s="76"/>
      <c r="B7" s="28">
        <v>37</v>
      </c>
      <c r="C7" s="29">
        <f>1.65+0.51</f>
        <v>2.16</v>
      </c>
      <c r="D7" s="30">
        <f t="shared" si="0"/>
        <v>2.4000000000000004</v>
      </c>
      <c r="E7" s="31">
        <f t="shared" si="0"/>
        <v>2.6400000000000006</v>
      </c>
      <c r="F7" s="32">
        <f>3.76+1.24</f>
        <v>5</v>
      </c>
      <c r="G7" s="30">
        <f t="shared" si="1"/>
        <v>5.29</v>
      </c>
      <c r="H7" s="31">
        <f t="shared" si="1"/>
        <v>5.58</v>
      </c>
      <c r="I7" s="33">
        <f>5.61+1.81</f>
        <v>7.42</v>
      </c>
      <c r="J7" s="30">
        <f t="shared" si="2"/>
        <v>7.71</v>
      </c>
      <c r="K7" s="31">
        <f t="shared" si="2"/>
        <v>8</v>
      </c>
      <c r="L7" s="34">
        <f>2.11+0.72</f>
        <v>2.83</v>
      </c>
      <c r="M7" s="30">
        <f t="shared" si="3"/>
        <v>3.15</v>
      </c>
      <c r="N7" s="31">
        <f t="shared" si="3"/>
        <v>3.4699999999999998</v>
      </c>
      <c r="O7" s="35">
        <f>1.86+0.51</f>
        <v>2.37</v>
      </c>
      <c r="P7" s="30">
        <f t="shared" si="4"/>
        <v>2.63</v>
      </c>
      <c r="Q7" s="31">
        <f t="shared" si="4"/>
        <v>2.8899999999999997</v>
      </c>
      <c r="R7" s="36">
        <f>3.94+1.32</f>
        <v>5.26</v>
      </c>
      <c r="S7" s="30">
        <f t="shared" si="5"/>
        <v>5.59</v>
      </c>
      <c r="T7" s="31">
        <f t="shared" si="5"/>
        <v>5.92</v>
      </c>
      <c r="U7" s="37"/>
      <c r="V7" s="38"/>
      <c r="W7" s="38"/>
      <c r="X7" s="38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</row>
    <row r="8" spans="1:49" s="42" customFormat="1" ht="15">
      <c r="A8" s="76"/>
      <c r="B8" s="28">
        <v>38</v>
      </c>
      <c r="C8" s="29">
        <f>1.65+0.46</f>
        <v>2.11</v>
      </c>
      <c r="D8" s="30">
        <f t="shared" si="0"/>
        <v>2.3499999999999996</v>
      </c>
      <c r="E8" s="31">
        <f t="shared" si="0"/>
        <v>2.59</v>
      </c>
      <c r="F8" s="32">
        <f>3.76+1.17</f>
        <v>4.93</v>
      </c>
      <c r="G8" s="30">
        <f t="shared" si="1"/>
        <v>5.22</v>
      </c>
      <c r="H8" s="31">
        <f t="shared" si="1"/>
        <v>5.51</v>
      </c>
      <c r="I8" s="33">
        <f>5.61+1.71</f>
        <v>7.32</v>
      </c>
      <c r="J8" s="30">
        <f t="shared" si="2"/>
        <v>7.61</v>
      </c>
      <c r="K8" s="31">
        <f t="shared" si="2"/>
        <v>7.9</v>
      </c>
      <c r="L8" s="34">
        <f>2.11+0.7</f>
        <v>2.8099999999999996</v>
      </c>
      <c r="M8" s="30">
        <f t="shared" si="3"/>
        <v>3.1299999999999994</v>
      </c>
      <c r="N8" s="31">
        <f t="shared" si="3"/>
        <v>3.4499999999999993</v>
      </c>
      <c r="O8" s="35">
        <f>1.86+0.48</f>
        <v>2.34</v>
      </c>
      <c r="P8" s="30">
        <f t="shared" si="4"/>
        <v>2.5999999999999996</v>
      </c>
      <c r="Q8" s="31">
        <f t="shared" si="4"/>
        <v>2.8599999999999994</v>
      </c>
      <c r="R8" s="36">
        <f>3.94+1.27</f>
        <v>5.21</v>
      </c>
      <c r="S8" s="30">
        <f t="shared" si="5"/>
        <v>5.54</v>
      </c>
      <c r="T8" s="31">
        <f t="shared" si="5"/>
        <v>5.87</v>
      </c>
      <c r="U8" s="37"/>
      <c r="V8" s="38"/>
      <c r="W8" s="38"/>
      <c r="X8" s="3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s="42" customFormat="1" ht="15">
      <c r="A9" s="76"/>
      <c r="B9" s="28">
        <v>39</v>
      </c>
      <c r="C9" s="29">
        <f>1.65+0.42</f>
        <v>2.07</v>
      </c>
      <c r="D9" s="30">
        <f t="shared" si="0"/>
        <v>2.3099999999999996</v>
      </c>
      <c r="E9" s="31">
        <f t="shared" si="0"/>
        <v>2.55</v>
      </c>
      <c r="F9" s="32">
        <f>3.76+1.12</f>
        <v>4.88</v>
      </c>
      <c r="G9" s="30">
        <f t="shared" si="1"/>
        <v>5.17</v>
      </c>
      <c r="H9" s="31">
        <f t="shared" si="1"/>
        <v>5.46</v>
      </c>
      <c r="I9" s="33">
        <f>5.61+1.61</f>
        <v>7.220000000000001</v>
      </c>
      <c r="J9" s="30">
        <f t="shared" si="2"/>
        <v>7.510000000000001</v>
      </c>
      <c r="K9" s="31">
        <f t="shared" si="2"/>
        <v>7.800000000000001</v>
      </c>
      <c r="L9" s="34">
        <f>2.11+0.68</f>
        <v>2.79</v>
      </c>
      <c r="M9" s="30">
        <f t="shared" si="3"/>
        <v>3.11</v>
      </c>
      <c r="N9" s="31">
        <f t="shared" si="3"/>
        <v>3.4299999999999997</v>
      </c>
      <c r="O9" s="35">
        <f>1.86+0.45</f>
        <v>2.31</v>
      </c>
      <c r="P9" s="30">
        <f t="shared" si="4"/>
        <v>2.5700000000000003</v>
      </c>
      <c r="Q9" s="31">
        <f t="shared" si="4"/>
        <v>2.83</v>
      </c>
      <c r="R9" s="36">
        <f>3.94+1.22</f>
        <v>5.16</v>
      </c>
      <c r="S9" s="30">
        <f t="shared" si="5"/>
        <v>5.49</v>
      </c>
      <c r="T9" s="31">
        <f t="shared" si="5"/>
        <v>5.82</v>
      </c>
      <c r="U9" s="37"/>
      <c r="V9" s="38"/>
      <c r="W9" s="38"/>
      <c r="X9" s="3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</row>
    <row r="10" spans="1:49" s="42" customFormat="1" ht="15">
      <c r="A10" s="76"/>
      <c r="B10" s="28">
        <v>40</v>
      </c>
      <c r="C10" s="29">
        <f>1.65+0.39</f>
        <v>2.04</v>
      </c>
      <c r="D10" s="30">
        <f t="shared" si="0"/>
        <v>2.2800000000000002</v>
      </c>
      <c r="E10" s="31">
        <f t="shared" si="0"/>
        <v>2.5200000000000005</v>
      </c>
      <c r="F10" s="32">
        <f>3.76+1.07</f>
        <v>4.83</v>
      </c>
      <c r="G10" s="30">
        <f t="shared" si="1"/>
        <v>5.12</v>
      </c>
      <c r="H10" s="31">
        <f t="shared" si="1"/>
        <v>5.41</v>
      </c>
      <c r="I10" s="33">
        <f>5.61+1.53</f>
        <v>7.140000000000001</v>
      </c>
      <c r="J10" s="30">
        <f t="shared" si="2"/>
        <v>7.430000000000001</v>
      </c>
      <c r="K10" s="31">
        <f t="shared" si="2"/>
        <v>7.720000000000001</v>
      </c>
      <c r="L10" s="34">
        <f>2.11+0.66</f>
        <v>2.77</v>
      </c>
      <c r="M10" s="30">
        <f t="shared" si="3"/>
        <v>3.09</v>
      </c>
      <c r="N10" s="31">
        <f t="shared" si="3"/>
        <v>3.4099999999999997</v>
      </c>
      <c r="O10" s="35">
        <f>1.86+0.43</f>
        <v>2.29</v>
      </c>
      <c r="P10" s="30">
        <f t="shared" si="4"/>
        <v>2.55</v>
      </c>
      <c r="Q10" s="31">
        <f t="shared" si="4"/>
        <v>2.8099999999999996</v>
      </c>
      <c r="R10" s="36">
        <f>3.94+1.18</f>
        <v>5.12</v>
      </c>
      <c r="S10" s="30">
        <f t="shared" si="5"/>
        <v>5.45</v>
      </c>
      <c r="T10" s="31">
        <f t="shared" si="5"/>
        <v>5.78</v>
      </c>
      <c r="U10" s="38"/>
      <c r="V10" s="38"/>
      <c r="W10" s="38"/>
      <c r="X10" s="38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2" customFormat="1" ht="15">
      <c r="A11" s="76"/>
      <c r="B11" s="28">
        <v>41</v>
      </c>
      <c r="C11" s="29">
        <f>1.65+0.36</f>
        <v>2.01</v>
      </c>
      <c r="D11" s="30">
        <f t="shared" si="0"/>
        <v>2.25</v>
      </c>
      <c r="E11" s="31">
        <f t="shared" si="0"/>
        <v>2.49</v>
      </c>
      <c r="F11" s="32">
        <f>3.76+1.02</f>
        <v>4.779999999999999</v>
      </c>
      <c r="G11" s="30">
        <f t="shared" si="1"/>
        <v>5.069999999999999</v>
      </c>
      <c r="H11" s="31">
        <f t="shared" si="1"/>
        <v>5.359999999999999</v>
      </c>
      <c r="I11" s="33">
        <f>5.61+1.45</f>
        <v>7.0600000000000005</v>
      </c>
      <c r="J11" s="30">
        <f t="shared" si="2"/>
        <v>7.3500000000000005</v>
      </c>
      <c r="K11" s="31">
        <f t="shared" si="2"/>
        <v>7.640000000000001</v>
      </c>
      <c r="L11" s="34">
        <f>2.11+0.64</f>
        <v>2.75</v>
      </c>
      <c r="M11" s="30">
        <f t="shared" si="3"/>
        <v>3.07</v>
      </c>
      <c r="N11" s="31">
        <f t="shared" si="3"/>
        <v>3.3899999999999997</v>
      </c>
      <c r="O11" s="35">
        <f>1.86+0.42</f>
        <v>2.2800000000000002</v>
      </c>
      <c r="P11" s="30">
        <f t="shared" si="4"/>
        <v>2.54</v>
      </c>
      <c r="Q11" s="31">
        <f t="shared" si="4"/>
        <v>2.8</v>
      </c>
      <c r="R11" s="36">
        <f>3.94+1.13</f>
        <v>5.07</v>
      </c>
      <c r="S11" s="30">
        <f t="shared" si="5"/>
        <v>5.4</v>
      </c>
      <c r="T11" s="31">
        <f t="shared" si="5"/>
        <v>5.73</v>
      </c>
      <c r="U11" s="38"/>
      <c r="V11" s="38"/>
      <c r="W11" s="38"/>
      <c r="X11" s="38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2" customFormat="1" ht="15">
      <c r="A12" s="76"/>
      <c r="B12" s="28">
        <v>42</v>
      </c>
      <c r="C12" s="43">
        <f>1.65+0.34</f>
        <v>1.99</v>
      </c>
      <c r="D12" s="44">
        <f t="shared" si="0"/>
        <v>2.23</v>
      </c>
      <c r="E12" s="45">
        <f t="shared" si="0"/>
        <v>2.4699999999999998</v>
      </c>
      <c r="F12" s="46">
        <f>3.76+0.98</f>
        <v>4.74</v>
      </c>
      <c r="G12" s="44">
        <f t="shared" si="1"/>
        <v>5.03</v>
      </c>
      <c r="H12" s="45">
        <f t="shared" si="1"/>
        <v>5.32</v>
      </c>
      <c r="I12" s="47">
        <f>5.61+1.38</f>
        <v>6.99</v>
      </c>
      <c r="J12" s="44">
        <f t="shared" si="2"/>
        <v>7.28</v>
      </c>
      <c r="K12" s="45">
        <f t="shared" si="2"/>
        <v>7.57</v>
      </c>
      <c r="L12" s="48">
        <f>2.11+0.62</f>
        <v>2.73</v>
      </c>
      <c r="M12" s="44">
        <f t="shared" si="3"/>
        <v>3.05</v>
      </c>
      <c r="N12" s="45">
        <f t="shared" si="3"/>
        <v>3.3699999999999997</v>
      </c>
      <c r="O12" s="49">
        <f>1.86+0.41</f>
        <v>2.27</v>
      </c>
      <c r="P12" s="44">
        <f t="shared" si="4"/>
        <v>2.5300000000000002</v>
      </c>
      <c r="Q12" s="45">
        <f t="shared" si="4"/>
        <v>2.79</v>
      </c>
      <c r="R12" s="50">
        <f>3.94+1.09</f>
        <v>5.03</v>
      </c>
      <c r="S12" s="44">
        <f t="shared" si="5"/>
        <v>5.36</v>
      </c>
      <c r="T12" s="45">
        <f t="shared" si="5"/>
        <v>5.69</v>
      </c>
      <c r="U12" s="38"/>
      <c r="V12" s="38"/>
      <c r="W12" s="38"/>
      <c r="X12" s="38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57" customFormat="1" ht="11.25">
      <c r="A13" s="51"/>
      <c r="B13" s="52" t="s">
        <v>9</v>
      </c>
      <c r="C13" s="53">
        <v>0.24</v>
      </c>
      <c r="D13" s="53"/>
      <c r="E13" s="53"/>
      <c r="F13" s="53">
        <v>0.29</v>
      </c>
      <c r="G13" s="53"/>
      <c r="H13" s="53"/>
      <c r="I13" s="53">
        <v>0.29</v>
      </c>
      <c r="J13" s="53"/>
      <c r="K13" s="53"/>
      <c r="L13" s="53">
        <v>0.32</v>
      </c>
      <c r="M13" s="53"/>
      <c r="N13" s="53"/>
      <c r="O13" s="53">
        <v>0.26</v>
      </c>
      <c r="P13" s="53"/>
      <c r="Q13" s="53"/>
      <c r="R13" s="53">
        <v>0.33</v>
      </c>
      <c r="S13" s="53"/>
      <c r="T13" s="54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</row>
    <row r="14" spans="1:49" s="60" customFormat="1" ht="11.25">
      <c r="A14" s="58"/>
      <c r="B14" s="52" t="s">
        <v>10</v>
      </c>
      <c r="C14" s="53">
        <v>2.13</v>
      </c>
      <c r="D14" s="53"/>
      <c r="E14" s="53"/>
      <c r="F14" s="53">
        <v>4.24</v>
      </c>
      <c r="G14" s="53"/>
      <c r="H14" s="53"/>
      <c r="I14" s="53">
        <v>6.09</v>
      </c>
      <c r="J14" s="53"/>
      <c r="K14" s="53"/>
      <c r="L14" s="53">
        <v>2.59</v>
      </c>
      <c r="M14" s="53"/>
      <c r="N14" s="53"/>
      <c r="O14" s="53">
        <v>2.34</v>
      </c>
      <c r="P14" s="53"/>
      <c r="Q14" s="53"/>
      <c r="R14" s="53">
        <v>4.42</v>
      </c>
      <c r="S14" s="53"/>
      <c r="T14" s="59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</row>
    <row r="15" spans="1:24" s="27" customFormat="1" ht="12.75" customHeight="1">
      <c r="A15" s="76" t="s">
        <v>11</v>
      </c>
      <c r="B15" s="28">
        <v>1</v>
      </c>
      <c r="C15" s="18">
        <f>1.65+0.36</f>
        <v>2.01</v>
      </c>
      <c r="D15" s="19">
        <f aca="true" t="shared" si="6" ref="D15:E25">C15+0.24</f>
        <v>2.25</v>
      </c>
      <c r="E15" s="20">
        <f t="shared" si="6"/>
        <v>2.49</v>
      </c>
      <c r="F15" s="21">
        <f>3.76+1.02</f>
        <v>4.779999999999999</v>
      </c>
      <c r="G15" s="19">
        <f aca="true" t="shared" si="7" ref="G15:H25">F15+0.25</f>
        <v>5.029999999999999</v>
      </c>
      <c r="H15" s="20">
        <f t="shared" si="7"/>
        <v>5.279999999999999</v>
      </c>
      <c r="I15" s="22">
        <f>5.61+1.45</f>
        <v>7.0600000000000005</v>
      </c>
      <c r="J15" s="19">
        <f aca="true" t="shared" si="8" ref="J15:K25">I15+0.24</f>
        <v>7.300000000000001</v>
      </c>
      <c r="K15" s="20">
        <f t="shared" si="8"/>
        <v>7.540000000000001</v>
      </c>
      <c r="L15" s="23">
        <f>2.11+0.64</f>
        <v>2.75</v>
      </c>
      <c r="M15" s="19">
        <f aca="true" t="shared" si="9" ref="M15:N25">L15+0.26</f>
        <v>3.01</v>
      </c>
      <c r="N15" s="20">
        <f t="shared" si="9"/>
        <v>3.2699999999999996</v>
      </c>
      <c r="O15" s="24">
        <f>1.86+0.42</f>
        <v>2.2800000000000002</v>
      </c>
      <c r="P15" s="19">
        <f aca="true" t="shared" si="10" ref="P15:Q25">(O15+0.23)</f>
        <v>2.5100000000000002</v>
      </c>
      <c r="Q15" s="20">
        <f t="shared" si="10"/>
        <v>2.74</v>
      </c>
      <c r="R15" s="25">
        <f>3.94+1.13</f>
        <v>5.07</v>
      </c>
      <c r="S15" s="19">
        <f aca="true" t="shared" si="11" ref="S15:T25">R15+0.27</f>
        <v>5.34</v>
      </c>
      <c r="T15" s="20">
        <f t="shared" si="11"/>
        <v>5.609999999999999</v>
      </c>
      <c r="U15" s="61"/>
      <c r="V15" s="61"/>
      <c r="W15" s="61"/>
      <c r="X15" s="61"/>
    </row>
    <row r="16" spans="1:24" ht="15">
      <c r="A16" s="76"/>
      <c r="B16" s="28">
        <v>2</v>
      </c>
      <c r="C16" s="29">
        <f>1.65+0.34</f>
        <v>1.99</v>
      </c>
      <c r="D16" s="30">
        <f t="shared" si="6"/>
        <v>2.23</v>
      </c>
      <c r="E16" s="31">
        <f t="shared" si="6"/>
        <v>2.4699999999999998</v>
      </c>
      <c r="F16" s="32">
        <f>3.76+0.98</f>
        <v>4.74</v>
      </c>
      <c r="G16" s="30">
        <f t="shared" si="7"/>
        <v>4.99</v>
      </c>
      <c r="H16" s="31">
        <f t="shared" si="7"/>
        <v>5.24</v>
      </c>
      <c r="I16" s="33">
        <f>5.61+1.38</f>
        <v>6.99</v>
      </c>
      <c r="J16" s="30">
        <f t="shared" si="8"/>
        <v>7.23</v>
      </c>
      <c r="K16" s="31">
        <f t="shared" si="8"/>
        <v>7.470000000000001</v>
      </c>
      <c r="L16" s="34">
        <f>2.11+0.62</f>
        <v>2.73</v>
      </c>
      <c r="M16" s="30">
        <f t="shared" si="9"/>
        <v>2.99</v>
      </c>
      <c r="N16" s="31">
        <f t="shared" si="9"/>
        <v>3.25</v>
      </c>
      <c r="O16" s="35">
        <f>1.86+0.41</f>
        <v>2.27</v>
      </c>
      <c r="P16" s="30">
        <f t="shared" si="10"/>
        <v>2.5</v>
      </c>
      <c r="Q16" s="31">
        <f t="shared" si="10"/>
        <v>2.73</v>
      </c>
      <c r="R16" s="36">
        <f>3.94+1.09</f>
        <v>5.03</v>
      </c>
      <c r="S16" s="30">
        <f t="shared" si="11"/>
        <v>5.300000000000001</v>
      </c>
      <c r="T16" s="31">
        <f t="shared" si="11"/>
        <v>5.57</v>
      </c>
      <c r="U16" s="62"/>
      <c r="V16" s="62"/>
      <c r="W16" s="62"/>
      <c r="X16" s="62"/>
    </row>
    <row r="17" spans="1:24" ht="15">
      <c r="A17" s="76"/>
      <c r="B17" s="28">
        <v>3</v>
      </c>
      <c r="C17" s="29">
        <f>1.65+0.32</f>
        <v>1.97</v>
      </c>
      <c r="D17" s="30">
        <f t="shared" si="6"/>
        <v>2.21</v>
      </c>
      <c r="E17" s="31">
        <f t="shared" si="6"/>
        <v>2.45</v>
      </c>
      <c r="F17" s="32">
        <f>3.76+0.94</f>
        <v>4.699999999999999</v>
      </c>
      <c r="G17" s="30">
        <f t="shared" si="7"/>
        <v>4.949999999999999</v>
      </c>
      <c r="H17" s="31">
        <f t="shared" si="7"/>
        <v>5.199999999999999</v>
      </c>
      <c r="I17" s="33">
        <f>5.61+1.32</f>
        <v>6.930000000000001</v>
      </c>
      <c r="J17" s="30">
        <f t="shared" si="8"/>
        <v>7.170000000000001</v>
      </c>
      <c r="K17" s="31">
        <f t="shared" si="8"/>
        <v>7.410000000000001</v>
      </c>
      <c r="L17" s="34">
        <f>2.11+0.61</f>
        <v>2.7199999999999998</v>
      </c>
      <c r="M17" s="30">
        <f t="shared" si="9"/>
        <v>2.9799999999999995</v>
      </c>
      <c r="N17" s="31">
        <f t="shared" si="9"/>
        <v>3.2399999999999993</v>
      </c>
      <c r="O17" s="35">
        <f>1.86+0.4</f>
        <v>2.2600000000000002</v>
      </c>
      <c r="P17" s="30">
        <f t="shared" si="10"/>
        <v>2.49</v>
      </c>
      <c r="Q17" s="31">
        <f t="shared" si="10"/>
        <v>2.72</v>
      </c>
      <c r="R17" s="36">
        <f>3.94+1.06</f>
        <v>5</v>
      </c>
      <c r="S17" s="30">
        <f t="shared" si="11"/>
        <v>5.27</v>
      </c>
      <c r="T17" s="31">
        <f t="shared" si="11"/>
        <v>5.539999999999999</v>
      </c>
      <c r="U17" s="62"/>
      <c r="V17" s="62"/>
      <c r="W17" s="62"/>
      <c r="X17" s="62"/>
    </row>
    <row r="18" spans="1:24" ht="15">
      <c r="A18" s="76"/>
      <c r="B18" s="28">
        <v>4</v>
      </c>
      <c r="C18" s="29">
        <f>1.65+0.3</f>
        <v>1.95</v>
      </c>
      <c r="D18" s="30">
        <f t="shared" si="6"/>
        <v>2.19</v>
      </c>
      <c r="E18" s="31">
        <f t="shared" si="6"/>
        <v>2.4299999999999997</v>
      </c>
      <c r="F18" s="32">
        <f>3.76+0.9</f>
        <v>4.66</v>
      </c>
      <c r="G18" s="30">
        <f t="shared" si="7"/>
        <v>4.91</v>
      </c>
      <c r="H18" s="31">
        <f t="shared" si="7"/>
        <v>5.16</v>
      </c>
      <c r="I18" s="33">
        <f>5.61+1.27</f>
        <v>6.880000000000001</v>
      </c>
      <c r="J18" s="30">
        <f t="shared" si="8"/>
        <v>7.120000000000001</v>
      </c>
      <c r="K18" s="31">
        <f t="shared" si="8"/>
        <v>7.360000000000001</v>
      </c>
      <c r="L18" s="34">
        <f>2.11+0.59</f>
        <v>2.6999999999999997</v>
      </c>
      <c r="M18" s="30">
        <f t="shared" si="9"/>
        <v>2.96</v>
      </c>
      <c r="N18" s="31">
        <f t="shared" si="9"/>
        <v>3.2199999999999998</v>
      </c>
      <c r="O18" s="35">
        <f>1.86+0.39</f>
        <v>2.25</v>
      </c>
      <c r="P18" s="30">
        <f t="shared" si="10"/>
        <v>2.48</v>
      </c>
      <c r="Q18" s="31">
        <f t="shared" si="10"/>
        <v>2.71</v>
      </c>
      <c r="R18" s="36">
        <f>3.94+1.02</f>
        <v>4.96</v>
      </c>
      <c r="S18" s="30">
        <f t="shared" si="11"/>
        <v>5.23</v>
      </c>
      <c r="T18" s="31">
        <f t="shared" si="11"/>
        <v>5.5</v>
      </c>
      <c r="U18" s="62"/>
      <c r="V18" s="62"/>
      <c r="W18" s="62"/>
      <c r="X18" s="62"/>
    </row>
    <row r="19" spans="1:24" ht="15">
      <c r="A19" s="76"/>
      <c r="B19" s="28">
        <v>6</v>
      </c>
      <c r="C19" s="29">
        <f>1.65+0.27</f>
        <v>1.92</v>
      </c>
      <c r="D19" s="30">
        <f t="shared" si="6"/>
        <v>2.16</v>
      </c>
      <c r="E19" s="31">
        <f t="shared" si="6"/>
        <v>2.4000000000000004</v>
      </c>
      <c r="F19" s="32">
        <f>3.76+0.83</f>
        <v>4.59</v>
      </c>
      <c r="G19" s="30">
        <f t="shared" si="7"/>
        <v>4.84</v>
      </c>
      <c r="H19" s="31">
        <f t="shared" si="7"/>
        <v>5.09</v>
      </c>
      <c r="I19" s="33">
        <f>5.61+1.17</f>
        <v>6.78</v>
      </c>
      <c r="J19" s="30">
        <f t="shared" si="8"/>
        <v>7.0200000000000005</v>
      </c>
      <c r="K19" s="31">
        <f t="shared" si="8"/>
        <v>7.260000000000001</v>
      </c>
      <c r="L19" s="34">
        <f>2.11+0.56</f>
        <v>2.67</v>
      </c>
      <c r="M19" s="30">
        <f t="shared" si="9"/>
        <v>2.9299999999999997</v>
      </c>
      <c r="N19" s="31">
        <f t="shared" si="9"/>
        <v>3.1899999999999995</v>
      </c>
      <c r="O19" s="35">
        <f>1.86+0.38</f>
        <v>2.24</v>
      </c>
      <c r="P19" s="30">
        <f t="shared" si="10"/>
        <v>2.47</v>
      </c>
      <c r="Q19" s="31">
        <f t="shared" si="10"/>
        <v>2.7</v>
      </c>
      <c r="R19" s="36">
        <f>3.94+0.95</f>
        <v>4.89</v>
      </c>
      <c r="S19" s="30">
        <f t="shared" si="11"/>
        <v>5.16</v>
      </c>
      <c r="T19" s="31">
        <f t="shared" si="11"/>
        <v>5.43</v>
      </c>
      <c r="U19" s="62"/>
      <c r="V19" s="62"/>
      <c r="W19" s="62"/>
      <c r="X19" s="62"/>
    </row>
    <row r="20" spans="1:24" ht="15">
      <c r="A20" s="76"/>
      <c r="B20" s="28">
        <v>8</v>
      </c>
      <c r="C20" s="29">
        <f>1.65+0.25</f>
        <v>1.9</v>
      </c>
      <c r="D20" s="30">
        <f t="shared" si="6"/>
        <v>2.1399999999999997</v>
      </c>
      <c r="E20" s="31">
        <f t="shared" si="6"/>
        <v>2.38</v>
      </c>
      <c r="F20" s="32">
        <f>3.76+0.78</f>
        <v>4.54</v>
      </c>
      <c r="G20" s="30">
        <f t="shared" si="7"/>
        <v>4.79</v>
      </c>
      <c r="H20" s="31">
        <f t="shared" si="7"/>
        <v>5.04</v>
      </c>
      <c r="I20" s="33">
        <f>5.61+1.09</f>
        <v>6.7</v>
      </c>
      <c r="J20" s="30">
        <f t="shared" si="8"/>
        <v>6.94</v>
      </c>
      <c r="K20" s="31">
        <f t="shared" si="8"/>
        <v>7.180000000000001</v>
      </c>
      <c r="L20" s="34">
        <f>2.11+0.53</f>
        <v>2.6399999999999997</v>
      </c>
      <c r="M20" s="30">
        <f t="shared" si="9"/>
        <v>2.8999999999999995</v>
      </c>
      <c r="N20" s="31">
        <f t="shared" si="9"/>
        <v>3.1599999999999993</v>
      </c>
      <c r="O20" s="35">
        <f>1.86+0.37</f>
        <v>2.23</v>
      </c>
      <c r="P20" s="30">
        <f t="shared" si="10"/>
        <v>2.46</v>
      </c>
      <c r="Q20" s="31">
        <f t="shared" si="10"/>
        <v>2.69</v>
      </c>
      <c r="R20" s="36">
        <f>3.94+0.9</f>
        <v>4.84</v>
      </c>
      <c r="S20" s="30">
        <f t="shared" si="11"/>
        <v>5.109999999999999</v>
      </c>
      <c r="T20" s="31">
        <f t="shared" si="11"/>
        <v>5.379999999999999</v>
      </c>
      <c r="U20" s="62"/>
      <c r="V20" s="62"/>
      <c r="W20" s="62"/>
      <c r="X20" s="62"/>
    </row>
    <row r="21" spans="1:24" ht="15">
      <c r="A21" s="76"/>
      <c r="B21" s="28">
        <v>10</v>
      </c>
      <c r="C21" s="29">
        <f>1.65+0.23</f>
        <v>1.88</v>
      </c>
      <c r="D21" s="30">
        <f t="shared" si="6"/>
        <v>2.12</v>
      </c>
      <c r="E21" s="31">
        <f t="shared" si="6"/>
        <v>2.3600000000000003</v>
      </c>
      <c r="F21" s="32">
        <f>3.76+0.73</f>
        <v>4.49</v>
      </c>
      <c r="G21" s="30">
        <f t="shared" si="7"/>
        <v>4.74</v>
      </c>
      <c r="H21" s="31">
        <f t="shared" si="7"/>
        <v>4.99</v>
      </c>
      <c r="I21" s="33">
        <f>5.61+1.02</f>
        <v>6.630000000000001</v>
      </c>
      <c r="J21" s="30">
        <f t="shared" si="8"/>
        <v>6.870000000000001</v>
      </c>
      <c r="K21" s="31">
        <f t="shared" si="8"/>
        <v>7.110000000000001</v>
      </c>
      <c r="L21" s="34">
        <f>2.11+0.51</f>
        <v>2.62</v>
      </c>
      <c r="M21" s="30">
        <f t="shared" si="9"/>
        <v>2.88</v>
      </c>
      <c r="N21" s="31">
        <f t="shared" si="9"/>
        <v>3.1399999999999997</v>
      </c>
      <c r="O21" s="35">
        <f>1.86+0.36</f>
        <v>2.22</v>
      </c>
      <c r="P21" s="30">
        <f t="shared" si="10"/>
        <v>2.45</v>
      </c>
      <c r="Q21" s="31">
        <f t="shared" si="10"/>
        <v>2.68</v>
      </c>
      <c r="R21" s="36">
        <f>3.94+0.85</f>
        <v>4.79</v>
      </c>
      <c r="S21" s="30">
        <f t="shared" si="11"/>
        <v>5.0600000000000005</v>
      </c>
      <c r="T21" s="31">
        <f t="shared" si="11"/>
        <v>5.33</v>
      </c>
      <c r="U21" s="62"/>
      <c r="V21" s="62"/>
      <c r="W21" s="62"/>
      <c r="X21" s="62"/>
    </row>
    <row r="22" spans="1:24" ht="15">
      <c r="A22" s="76"/>
      <c r="B22" s="28">
        <v>12</v>
      </c>
      <c r="C22" s="29">
        <f>1.65+0.22</f>
        <v>1.8699999999999999</v>
      </c>
      <c r="D22" s="30">
        <f t="shared" si="6"/>
        <v>2.11</v>
      </c>
      <c r="E22" s="31">
        <f t="shared" si="6"/>
        <v>2.3499999999999996</v>
      </c>
      <c r="F22" s="32">
        <f>3.76+0.69</f>
        <v>4.449999999999999</v>
      </c>
      <c r="G22" s="30">
        <f t="shared" si="7"/>
        <v>4.699999999999999</v>
      </c>
      <c r="H22" s="31">
        <f t="shared" si="7"/>
        <v>4.949999999999999</v>
      </c>
      <c r="I22" s="33">
        <f>5.61+0.97</f>
        <v>6.58</v>
      </c>
      <c r="J22" s="30">
        <f t="shared" si="8"/>
        <v>6.82</v>
      </c>
      <c r="K22" s="31">
        <f t="shared" si="8"/>
        <v>7.0600000000000005</v>
      </c>
      <c r="L22" s="34">
        <f>2.11+0.49</f>
        <v>2.5999999999999996</v>
      </c>
      <c r="M22" s="30">
        <f t="shared" si="9"/>
        <v>2.8599999999999994</v>
      </c>
      <c r="N22" s="31">
        <f t="shared" si="9"/>
        <v>3.119999999999999</v>
      </c>
      <c r="O22" s="35">
        <f>1.86+0.35</f>
        <v>2.21</v>
      </c>
      <c r="P22" s="30">
        <f t="shared" si="10"/>
        <v>2.44</v>
      </c>
      <c r="Q22" s="31">
        <f t="shared" si="10"/>
        <v>2.67</v>
      </c>
      <c r="R22" s="36">
        <f>3.94+0.8</f>
        <v>4.74</v>
      </c>
      <c r="S22" s="30">
        <f t="shared" si="11"/>
        <v>5.01</v>
      </c>
      <c r="T22" s="31">
        <f t="shared" si="11"/>
        <v>5.279999999999999</v>
      </c>
      <c r="U22" s="62"/>
      <c r="V22" s="62"/>
      <c r="W22" s="62"/>
      <c r="X22" s="62"/>
    </row>
    <row r="23" spans="1:24" ht="15">
      <c r="A23" s="76"/>
      <c r="B23" s="28">
        <v>16</v>
      </c>
      <c r="C23" s="29">
        <f>1.65+0.2</f>
        <v>1.8499999999999999</v>
      </c>
      <c r="D23" s="30">
        <f t="shared" si="6"/>
        <v>2.09</v>
      </c>
      <c r="E23" s="31">
        <f t="shared" si="6"/>
        <v>2.33</v>
      </c>
      <c r="F23" s="32">
        <f>3.76+0.63</f>
        <v>4.39</v>
      </c>
      <c r="G23" s="30">
        <f t="shared" si="7"/>
        <v>4.64</v>
      </c>
      <c r="H23" s="31">
        <f t="shared" si="7"/>
        <v>4.89</v>
      </c>
      <c r="I23" s="33">
        <f>5.61+0.89</f>
        <v>6.5</v>
      </c>
      <c r="J23" s="30">
        <f t="shared" si="8"/>
        <v>6.74</v>
      </c>
      <c r="K23" s="31">
        <f t="shared" si="8"/>
        <v>6.98</v>
      </c>
      <c r="L23" s="34">
        <f>2.11+0.45</f>
        <v>2.56</v>
      </c>
      <c r="M23" s="30">
        <f t="shared" si="9"/>
        <v>2.8200000000000003</v>
      </c>
      <c r="N23" s="31">
        <f t="shared" si="9"/>
        <v>3.08</v>
      </c>
      <c r="O23" s="35">
        <f>1.86+0.33</f>
        <v>2.19</v>
      </c>
      <c r="P23" s="30">
        <f t="shared" si="10"/>
        <v>2.42</v>
      </c>
      <c r="Q23" s="31">
        <f t="shared" si="10"/>
        <v>2.65</v>
      </c>
      <c r="R23" s="36">
        <f>3.94+0.72</f>
        <v>4.66</v>
      </c>
      <c r="S23" s="30">
        <f t="shared" si="11"/>
        <v>4.93</v>
      </c>
      <c r="T23" s="31">
        <f t="shared" si="11"/>
        <v>5.199999999999999</v>
      </c>
      <c r="U23" s="62"/>
      <c r="V23" s="62"/>
      <c r="W23" s="62"/>
      <c r="X23" s="62"/>
    </row>
    <row r="24" spans="1:24" ht="15">
      <c r="A24" s="76"/>
      <c r="B24" s="28">
        <v>20</v>
      </c>
      <c r="C24" s="29">
        <f>1.65+0.19</f>
        <v>1.8399999999999999</v>
      </c>
      <c r="D24" s="30">
        <f t="shared" si="6"/>
        <v>2.08</v>
      </c>
      <c r="E24" s="31">
        <f t="shared" si="6"/>
        <v>2.3200000000000003</v>
      </c>
      <c r="F24" s="32">
        <f>3.76+0.58</f>
        <v>4.34</v>
      </c>
      <c r="G24" s="30">
        <f t="shared" si="7"/>
        <v>4.59</v>
      </c>
      <c r="H24" s="31">
        <f t="shared" si="7"/>
        <v>4.84</v>
      </c>
      <c r="I24" s="33">
        <f>5.61+0.83</f>
        <v>6.44</v>
      </c>
      <c r="J24" s="30">
        <f t="shared" si="8"/>
        <v>6.680000000000001</v>
      </c>
      <c r="K24" s="31">
        <f t="shared" si="8"/>
        <v>6.920000000000001</v>
      </c>
      <c r="L24" s="34">
        <f>2.11+0.41</f>
        <v>2.52</v>
      </c>
      <c r="M24" s="30">
        <f t="shared" si="9"/>
        <v>2.7800000000000002</v>
      </c>
      <c r="N24" s="31">
        <f t="shared" si="9"/>
        <v>3.04</v>
      </c>
      <c r="O24" s="35">
        <f>1.86+0.32</f>
        <v>2.18</v>
      </c>
      <c r="P24" s="30">
        <f t="shared" si="10"/>
        <v>2.41</v>
      </c>
      <c r="Q24" s="31">
        <f t="shared" si="10"/>
        <v>2.64</v>
      </c>
      <c r="R24" s="36">
        <f>3.94+0.66</f>
        <v>4.6</v>
      </c>
      <c r="S24" s="30">
        <f t="shared" si="11"/>
        <v>4.869999999999999</v>
      </c>
      <c r="T24" s="31">
        <f t="shared" si="11"/>
        <v>5.139999999999999</v>
      </c>
      <c r="U24" s="62"/>
      <c r="V24" s="62"/>
      <c r="W24" s="62"/>
      <c r="X24" s="62"/>
    </row>
    <row r="25" spans="1:24" ht="15">
      <c r="A25" s="76"/>
      <c r="B25" s="28">
        <v>24</v>
      </c>
      <c r="C25" s="43">
        <f>1.65+0.18</f>
        <v>1.8299999999999998</v>
      </c>
      <c r="D25" s="44">
        <f t="shared" si="6"/>
        <v>2.07</v>
      </c>
      <c r="E25" s="45">
        <f t="shared" si="6"/>
        <v>2.3099999999999996</v>
      </c>
      <c r="F25" s="46">
        <f>3.76+0.54</f>
        <v>4.3</v>
      </c>
      <c r="G25" s="44">
        <f t="shared" si="7"/>
        <v>4.55</v>
      </c>
      <c r="H25" s="45">
        <f t="shared" si="7"/>
        <v>4.8</v>
      </c>
      <c r="I25" s="47">
        <f>5.61+0.78</f>
        <v>6.390000000000001</v>
      </c>
      <c r="J25" s="44">
        <f t="shared" si="8"/>
        <v>6.630000000000001</v>
      </c>
      <c r="K25" s="45">
        <f t="shared" si="8"/>
        <v>6.870000000000001</v>
      </c>
      <c r="L25" s="48">
        <f>2.11+0.38</f>
        <v>2.4899999999999998</v>
      </c>
      <c r="M25" s="44">
        <f t="shared" si="9"/>
        <v>2.75</v>
      </c>
      <c r="N25" s="45">
        <f t="shared" si="9"/>
        <v>3.01</v>
      </c>
      <c r="O25" s="49">
        <f>1.86+0.3</f>
        <v>2.16</v>
      </c>
      <c r="P25" s="44">
        <f t="shared" si="10"/>
        <v>2.39</v>
      </c>
      <c r="Q25" s="45">
        <f t="shared" si="10"/>
        <v>2.62</v>
      </c>
      <c r="R25" s="50">
        <f>3.94+0.62</f>
        <v>4.56</v>
      </c>
      <c r="S25" s="44">
        <f t="shared" si="11"/>
        <v>4.83</v>
      </c>
      <c r="T25" s="45">
        <f t="shared" si="11"/>
        <v>5.1</v>
      </c>
      <c r="U25" s="62"/>
      <c r="V25" s="62"/>
      <c r="W25" s="62"/>
      <c r="X25" s="62"/>
    </row>
    <row r="26" spans="1:24" s="27" customFormat="1" ht="3" customHeight="1">
      <c r="A26" s="63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1"/>
      <c r="V26" s="61"/>
      <c r="W26" s="61"/>
      <c r="X26" s="61"/>
    </row>
    <row r="27" spans="1:24" ht="13.5" customHeight="1">
      <c r="A27" s="76" t="s">
        <v>12</v>
      </c>
      <c r="B27" s="66">
        <v>6</v>
      </c>
      <c r="C27" s="18">
        <f>1.65+0.18</f>
        <v>1.8299999999999998</v>
      </c>
      <c r="D27" s="19">
        <f aca="true" t="shared" si="12" ref="D27:E40">C27+0.24</f>
        <v>2.07</v>
      </c>
      <c r="E27" s="20">
        <f t="shared" si="12"/>
        <v>2.3099999999999996</v>
      </c>
      <c r="F27" s="21">
        <f>3.76+0.51</f>
        <v>4.27</v>
      </c>
      <c r="G27" s="19">
        <f aca="true" t="shared" si="13" ref="G27:H40">F27+0.25</f>
        <v>4.52</v>
      </c>
      <c r="H27" s="20">
        <f t="shared" si="13"/>
        <v>4.77</v>
      </c>
      <c r="I27" s="22">
        <f>5.61+0.75</f>
        <v>6.36</v>
      </c>
      <c r="J27" s="19">
        <f aca="true" t="shared" si="14" ref="J27:K40">I27+0.24</f>
        <v>6.6000000000000005</v>
      </c>
      <c r="K27" s="20">
        <f t="shared" si="14"/>
        <v>6.840000000000001</v>
      </c>
      <c r="L27" s="23">
        <f>2.11+0.36</f>
        <v>2.4699999999999998</v>
      </c>
      <c r="M27" s="19">
        <f aca="true" t="shared" si="15" ref="M27:N40">L27+0.26</f>
        <v>2.7299999999999995</v>
      </c>
      <c r="N27" s="20">
        <f t="shared" si="15"/>
        <v>2.9899999999999993</v>
      </c>
      <c r="O27" s="24">
        <f>1.86+0.29</f>
        <v>2.15</v>
      </c>
      <c r="P27" s="19">
        <f aca="true" t="shared" si="16" ref="P27:Q40">(O27+0.23)</f>
        <v>2.38</v>
      </c>
      <c r="Q27" s="20">
        <f t="shared" si="16"/>
        <v>2.61</v>
      </c>
      <c r="R27" s="25">
        <f>3.94+0.58</f>
        <v>4.52</v>
      </c>
      <c r="S27" s="19">
        <f aca="true" t="shared" si="17" ref="S27:T40">R27+0.27</f>
        <v>4.789999999999999</v>
      </c>
      <c r="T27" s="20">
        <f t="shared" si="17"/>
        <v>5.059999999999999</v>
      </c>
      <c r="U27" s="62"/>
      <c r="V27" s="62"/>
      <c r="W27" s="62"/>
      <c r="X27" s="62"/>
    </row>
    <row r="28" spans="1:24" ht="15">
      <c r="A28" s="76"/>
      <c r="B28" s="66">
        <v>7</v>
      </c>
      <c r="C28" s="29">
        <f>1.65+0.17</f>
        <v>1.8199999999999998</v>
      </c>
      <c r="D28" s="30">
        <f t="shared" si="12"/>
        <v>2.0599999999999996</v>
      </c>
      <c r="E28" s="31">
        <f t="shared" si="12"/>
        <v>2.3</v>
      </c>
      <c r="F28" s="32">
        <f>3.76+0.49</f>
        <v>4.25</v>
      </c>
      <c r="G28" s="30">
        <f t="shared" si="13"/>
        <v>4.5</v>
      </c>
      <c r="H28" s="31">
        <f t="shared" si="13"/>
        <v>4.75</v>
      </c>
      <c r="I28" s="33">
        <f>5.61+0.72</f>
        <v>6.33</v>
      </c>
      <c r="J28" s="30">
        <f t="shared" si="14"/>
        <v>6.57</v>
      </c>
      <c r="K28" s="31">
        <f t="shared" si="14"/>
        <v>6.8100000000000005</v>
      </c>
      <c r="L28" s="34">
        <f>2.11+0.34</f>
        <v>2.4499999999999997</v>
      </c>
      <c r="M28" s="30">
        <f t="shared" si="15"/>
        <v>2.71</v>
      </c>
      <c r="N28" s="31">
        <f t="shared" si="15"/>
        <v>2.9699999999999998</v>
      </c>
      <c r="O28" s="35">
        <f>1.86+0.27</f>
        <v>2.13</v>
      </c>
      <c r="P28" s="30">
        <f t="shared" si="16"/>
        <v>2.36</v>
      </c>
      <c r="Q28" s="31">
        <f t="shared" si="16"/>
        <v>2.59</v>
      </c>
      <c r="R28" s="36">
        <f>3.94+0.55</f>
        <v>4.49</v>
      </c>
      <c r="S28" s="30">
        <f t="shared" si="17"/>
        <v>4.76</v>
      </c>
      <c r="T28" s="31">
        <f t="shared" si="17"/>
        <v>5.029999999999999</v>
      </c>
      <c r="U28" s="62"/>
      <c r="V28" s="62"/>
      <c r="W28" s="62"/>
      <c r="X28" s="62"/>
    </row>
    <row r="29" spans="1:24" ht="15">
      <c r="A29" s="76"/>
      <c r="B29" s="66">
        <v>8</v>
      </c>
      <c r="C29" s="29">
        <f>1.65+0.17</f>
        <v>1.8199999999999998</v>
      </c>
      <c r="D29" s="30">
        <f t="shared" si="12"/>
        <v>2.0599999999999996</v>
      </c>
      <c r="E29" s="31">
        <f t="shared" si="12"/>
        <v>2.3</v>
      </c>
      <c r="F29" s="32">
        <f>3.76+0.47</f>
        <v>4.2299999999999995</v>
      </c>
      <c r="G29" s="30">
        <f t="shared" si="13"/>
        <v>4.4799999999999995</v>
      </c>
      <c r="H29" s="31">
        <f t="shared" si="13"/>
        <v>4.7299999999999995</v>
      </c>
      <c r="I29" s="33">
        <f>5.61+0.7</f>
        <v>6.3100000000000005</v>
      </c>
      <c r="J29" s="30">
        <f t="shared" si="14"/>
        <v>6.550000000000001</v>
      </c>
      <c r="K29" s="31">
        <f t="shared" si="14"/>
        <v>6.790000000000001</v>
      </c>
      <c r="L29" s="34">
        <f>2.11+0.32</f>
        <v>2.4299999999999997</v>
      </c>
      <c r="M29" s="30">
        <f t="shared" si="15"/>
        <v>2.6899999999999995</v>
      </c>
      <c r="N29" s="31">
        <f t="shared" si="15"/>
        <v>2.9499999999999993</v>
      </c>
      <c r="O29" s="35">
        <f>1.86+0.26</f>
        <v>2.12</v>
      </c>
      <c r="P29" s="30">
        <f t="shared" si="16"/>
        <v>2.35</v>
      </c>
      <c r="Q29" s="31">
        <f t="shared" si="16"/>
        <v>2.58</v>
      </c>
      <c r="R29" s="36">
        <f>3.94+0.52</f>
        <v>4.46</v>
      </c>
      <c r="S29" s="30">
        <f t="shared" si="17"/>
        <v>4.73</v>
      </c>
      <c r="T29" s="31">
        <f t="shared" si="17"/>
        <v>5</v>
      </c>
      <c r="U29" s="62"/>
      <c r="V29" s="62"/>
      <c r="W29" s="62"/>
      <c r="X29" s="62"/>
    </row>
    <row r="30" spans="1:24" ht="15">
      <c r="A30" s="76"/>
      <c r="B30" s="66">
        <v>10</v>
      </c>
      <c r="C30" s="29">
        <f>1.65+0.16</f>
        <v>1.8099999999999998</v>
      </c>
      <c r="D30" s="30">
        <f t="shared" si="12"/>
        <v>2.05</v>
      </c>
      <c r="E30" s="31">
        <f t="shared" si="12"/>
        <v>2.29</v>
      </c>
      <c r="F30" s="32">
        <f>3.76+0.45</f>
        <v>4.21</v>
      </c>
      <c r="G30" s="30">
        <f t="shared" si="13"/>
        <v>4.46</v>
      </c>
      <c r="H30" s="31">
        <f t="shared" si="13"/>
        <v>4.71</v>
      </c>
      <c r="I30" s="33">
        <f>5.61+0.66</f>
        <v>6.2700000000000005</v>
      </c>
      <c r="J30" s="30">
        <f t="shared" si="14"/>
        <v>6.510000000000001</v>
      </c>
      <c r="K30" s="31">
        <f t="shared" si="14"/>
        <v>6.750000000000001</v>
      </c>
      <c r="L30" s="34">
        <f>2.11+0.29</f>
        <v>2.4</v>
      </c>
      <c r="M30" s="30">
        <f t="shared" si="15"/>
        <v>2.66</v>
      </c>
      <c r="N30" s="31">
        <f t="shared" si="15"/>
        <v>2.92</v>
      </c>
      <c r="O30" s="35">
        <f>1.86+0.23</f>
        <v>2.0900000000000003</v>
      </c>
      <c r="P30" s="30">
        <f t="shared" si="16"/>
        <v>2.3200000000000003</v>
      </c>
      <c r="Q30" s="31">
        <f t="shared" si="16"/>
        <v>2.5500000000000003</v>
      </c>
      <c r="R30" s="36">
        <f>3.94+0.48</f>
        <v>4.42</v>
      </c>
      <c r="S30" s="30">
        <f t="shared" si="17"/>
        <v>4.6899999999999995</v>
      </c>
      <c r="T30" s="31">
        <f t="shared" si="17"/>
        <v>4.959999999999999</v>
      </c>
      <c r="U30" s="62"/>
      <c r="V30" s="62"/>
      <c r="W30" s="62"/>
      <c r="X30" s="62"/>
    </row>
    <row r="31" spans="1:24" ht="15">
      <c r="A31" s="76"/>
      <c r="B31" s="66">
        <v>12</v>
      </c>
      <c r="C31" s="29">
        <f>1.65+0.15</f>
        <v>1.7999999999999998</v>
      </c>
      <c r="D31" s="30">
        <f t="shared" si="12"/>
        <v>2.04</v>
      </c>
      <c r="E31" s="31">
        <f t="shared" si="12"/>
        <v>2.2800000000000002</v>
      </c>
      <c r="F31" s="32">
        <f>3.76+0.43</f>
        <v>4.1899999999999995</v>
      </c>
      <c r="G31" s="30">
        <f t="shared" si="13"/>
        <v>4.4399999999999995</v>
      </c>
      <c r="H31" s="31">
        <f t="shared" si="13"/>
        <v>4.6899999999999995</v>
      </c>
      <c r="I31" s="33">
        <f>5.61+0.64</f>
        <v>6.25</v>
      </c>
      <c r="J31" s="30">
        <f t="shared" si="14"/>
        <v>6.49</v>
      </c>
      <c r="K31" s="31">
        <f t="shared" si="14"/>
        <v>6.73</v>
      </c>
      <c r="L31" s="34">
        <f>2.11+0.27</f>
        <v>2.38</v>
      </c>
      <c r="M31" s="30">
        <f t="shared" si="15"/>
        <v>2.6399999999999997</v>
      </c>
      <c r="N31" s="31">
        <f t="shared" si="15"/>
        <v>2.8999999999999995</v>
      </c>
      <c r="O31" s="35">
        <f>1.86+0.21</f>
        <v>2.0700000000000003</v>
      </c>
      <c r="P31" s="30">
        <f t="shared" si="16"/>
        <v>2.3000000000000003</v>
      </c>
      <c r="Q31" s="31">
        <f t="shared" si="16"/>
        <v>2.5300000000000002</v>
      </c>
      <c r="R31" s="36">
        <f>3.94+0.45</f>
        <v>4.39</v>
      </c>
      <c r="S31" s="30">
        <f t="shared" si="17"/>
        <v>4.66</v>
      </c>
      <c r="T31" s="31">
        <f t="shared" si="17"/>
        <v>4.93</v>
      </c>
      <c r="U31" s="62"/>
      <c r="V31" s="62"/>
      <c r="W31" s="62"/>
      <c r="X31" s="62"/>
    </row>
    <row r="32" spans="1:24" ht="15">
      <c r="A32" s="76"/>
      <c r="B32" s="66">
        <v>16</v>
      </c>
      <c r="C32" s="29">
        <f>1.65+0.14</f>
        <v>1.79</v>
      </c>
      <c r="D32" s="30">
        <f t="shared" si="12"/>
        <v>2.0300000000000002</v>
      </c>
      <c r="E32" s="31">
        <f t="shared" si="12"/>
        <v>2.2700000000000005</v>
      </c>
      <c r="F32" s="32">
        <f>3.76+0.4</f>
        <v>4.16</v>
      </c>
      <c r="G32" s="30">
        <f t="shared" si="13"/>
        <v>4.41</v>
      </c>
      <c r="H32" s="31">
        <f t="shared" si="13"/>
        <v>4.66</v>
      </c>
      <c r="I32" s="33">
        <f>5.61+0.58</f>
        <v>6.19</v>
      </c>
      <c r="J32" s="30">
        <f t="shared" si="14"/>
        <v>6.430000000000001</v>
      </c>
      <c r="K32" s="31">
        <f t="shared" si="14"/>
        <v>6.670000000000001</v>
      </c>
      <c r="L32" s="34">
        <f>2.11+0.24</f>
        <v>2.3499999999999996</v>
      </c>
      <c r="M32" s="30">
        <f t="shared" si="15"/>
        <v>2.6099999999999994</v>
      </c>
      <c r="N32" s="31">
        <f t="shared" si="15"/>
        <v>2.869999999999999</v>
      </c>
      <c r="O32" s="35">
        <f>1.86+0.17</f>
        <v>2.0300000000000002</v>
      </c>
      <c r="P32" s="30">
        <f t="shared" si="16"/>
        <v>2.2600000000000002</v>
      </c>
      <c r="Q32" s="31">
        <f t="shared" si="16"/>
        <v>2.49</v>
      </c>
      <c r="R32" s="36">
        <f>3.94+0.41</f>
        <v>4.35</v>
      </c>
      <c r="S32" s="30">
        <f t="shared" si="17"/>
        <v>4.619999999999999</v>
      </c>
      <c r="T32" s="31">
        <f t="shared" si="17"/>
        <v>4.889999999999999</v>
      </c>
      <c r="U32" s="62"/>
      <c r="V32" s="62"/>
      <c r="W32" s="62"/>
      <c r="X32" s="62"/>
    </row>
    <row r="33" spans="1:24" ht="15">
      <c r="A33" s="76"/>
      <c r="B33" s="66">
        <v>20</v>
      </c>
      <c r="C33" s="29">
        <f>1.65+0.13</f>
        <v>1.7799999999999998</v>
      </c>
      <c r="D33" s="30">
        <f t="shared" si="12"/>
        <v>2.0199999999999996</v>
      </c>
      <c r="E33" s="31">
        <f t="shared" si="12"/>
        <v>2.26</v>
      </c>
      <c r="F33" s="32">
        <f>3.76+0.37</f>
        <v>4.13</v>
      </c>
      <c r="G33" s="30">
        <f t="shared" si="13"/>
        <v>4.38</v>
      </c>
      <c r="H33" s="31">
        <f t="shared" si="13"/>
        <v>4.63</v>
      </c>
      <c r="I33" s="33">
        <f>5.61+0.53</f>
        <v>6.140000000000001</v>
      </c>
      <c r="J33" s="30">
        <f t="shared" si="14"/>
        <v>6.380000000000001</v>
      </c>
      <c r="K33" s="31">
        <f t="shared" si="14"/>
        <v>6.620000000000001</v>
      </c>
      <c r="L33" s="34">
        <f>2.11+0.22</f>
        <v>2.33</v>
      </c>
      <c r="M33" s="30">
        <f t="shared" si="15"/>
        <v>2.59</v>
      </c>
      <c r="N33" s="31">
        <f t="shared" si="15"/>
        <v>2.8499999999999996</v>
      </c>
      <c r="O33" s="35">
        <f>1.86+0.14</f>
        <v>2</v>
      </c>
      <c r="P33" s="30">
        <f t="shared" si="16"/>
        <v>2.23</v>
      </c>
      <c r="Q33" s="31">
        <f t="shared" si="16"/>
        <v>2.46</v>
      </c>
      <c r="R33" s="36">
        <f>3.94+0.38</f>
        <v>4.32</v>
      </c>
      <c r="S33" s="30">
        <f t="shared" si="17"/>
        <v>4.59</v>
      </c>
      <c r="T33" s="31">
        <f t="shared" si="17"/>
        <v>4.859999999999999</v>
      </c>
      <c r="U33" s="62"/>
      <c r="V33" s="62"/>
      <c r="W33" s="62"/>
      <c r="X33" s="62"/>
    </row>
    <row r="34" spans="1:24" ht="15">
      <c r="A34" s="76"/>
      <c r="B34" s="66">
        <v>24</v>
      </c>
      <c r="C34" s="29">
        <f>1.65+0.12</f>
        <v>1.77</v>
      </c>
      <c r="D34" s="30">
        <f t="shared" si="12"/>
        <v>2.01</v>
      </c>
      <c r="E34" s="31">
        <f t="shared" si="12"/>
        <v>2.25</v>
      </c>
      <c r="F34" s="32">
        <f>3.76+0.35</f>
        <v>4.109999999999999</v>
      </c>
      <c r="G34" s="30">
        <f t="shared" si="13"/>
        <v>4.359999999999999</v>
      </c>
      <c r="H34" s="31">
        <f t="shared" si="13"/>
        <v>4.609999999999999</v>
      </c>
      <c r="I34" s="33">
        <f>5.61+0.49</f>
        <v>6.1000000000000005</v>
      </c>
      <c r="J34" s="30">
        <f t="shared" si="14"/>
        <v>6.340000000000001</v>
      </c>
      <c r="K34" s="31">
        <f t="shared" si="14"/>
        <v>6.580000000000001</v>
      </c>
      <c r="L34" s="34">
        <f>2.11+0.21</f>
        <v>2.32</v>
      </c>
      <c r="M34" s="30">
        <f t="shared" si="15"/>
        <v>2.58</v>
      </c>
      <c r="N34" s="31">
        <f t="shared" si="15"/>
        <v>2.84</v>
      </c>
      <c r="O34" s="35">
        <f>1.86+0.11</f>
        <v>1.9700000000000002</v>
      </c>
      <c r="P34" s="30">
        <f t="shared" si="16"/>
        <v>2.2</v>
      </c>
      <c r="Q34" s="31">
        <f t="shared" si="16"/>
        <v>2.43</v>
      </c>
      <c r="R34" s="36">
        <f>3.94+0.36</f>
        <v>4.3</v>
      </c>
      <c r="S34" s="30">
        <f t="shared" si="17"/>
        <v>4.57</v>
      </c>
      <c r="T34" s="31">
        <f t="shared" si="17"/>
        <v>4.84</v>
      </c>
      <c r="U34" s="62"/>
      <c r="V34" s="62"/>
      <c r="W34" s="62"/>
      <c r="X34" s="62"/>
    </row>
    <row r="35" spans="1:24" ht="15">
      <c r="A35" s="76"/>
      <c r="B35" s="66">
        <v>28</v>
      </c>
      <c r="C35" s="29">
        <f>1.65+0.11</f>
        <v>1.76</v>
      </c>
      <c r="D35" s="30">
        <f t="shared" si="12"/>
        <v>2</v>
      </c>
      <c r="E35" s="31">
        <f t="shared" si="12"/>
        <v>2.24</v>
      </c>
      <c r="F35" s="32">
        <f>3.76+0.32</f>
        <v>4.08</v>
      </c>
      <c r="G35" s="30">
        <f t="shared" si="13"/>
        <v>4.33</v>
      </c>
      <c r="H35" s="31">
        <f t="shared" si="13"/>
        <v>4.58</v>
      </c>
      <c r="I35" s="33">
        <f>5.61+0.45</f>
        <v>6.0600000000000005</v>
      </c>
      <c r="J35" s="30">
        <f t="shared" si="14"/>
        <v>6.300000000000001</v>
      </c>
      <c r="K35" s="31">
        <f t="shared" si="14"/>
        <v>6.540000000000001</v>
      </c>
      <c r="L35" s="34">
        <f>2.11+0.2</f>
        <v>2.31</v>
      </c>
      <c r="M35" s="30">
        <f t="shared" si="15"/>
        <v>2.5700000000000003</v>
      </c>
      <c r="N35" s="31">
        <f t="shared" si="15"/>
        <v>2.83</v>
      </c>
      <c r="O35" s="35">
        <f>1.86+0.09</f>
        <v>1.9500000000000002</v>
      </c>
      <c r="P35" s="30">
        <f t="shared" si="16"/>
        <v>2.18</v>
      </c>
      <c r="Q35" s="31">
        <f t="shared" si="16"/>
        <v>2.41</v>
      </c>
      <c r="R35" s="36">
        <f>3.94+0.34</f>
        <v>4.28</v>
      </c>
      <c r="S35" s="30">
        <f t="shared" si="17"/>
        <v>4.550000000000001</v>
      </c>
      <c r="T35" s="31">
        <f t="shared" si="17"/>
        <v>4.82</v>
      </c>
      <c r="U35" s="62"/>
      <c r="V35" s="62"/>
      <c r="W35" s="62"/>
      <c r="X35" s="62"/>
    </row>
    <row r="36" spans="1:24" ht="15">
      <c r="A36" s="76"/>
      <c r="B36" s="66">
        <v>32</v>
      </c>
      <c r="C36" s="29">
        <f>1.65+0.1</f>
        <v>1.75</v>
      </c>
      <c r="D36" s="30">
        <f t="shared" si="12"/>
        <v>1.99</v>
      </c>
      <c r="E36" s="31">
        <f t="shared" si="12"/>
        <v>2.23</v>
      </c>
      <c r="F36" s="32">
        <f>3.76+0.3</f>
        <v>4.06</v>
      </c>
      <c r="G36" s="30">
        <f t="shared" si="13"/>
        <v>4.31</v>
      </c>
      <c r="H36" s="31">
        <f t="shared" si="13"/>
        <v>4.56</v>
      </c>
      <c r="I36" s="33">
        <f>5.61+0.41</f>
        <v>6.0200000000000005</v>
      </c>
      <c r="J36" s="30">
        <f t="shared" si="14"/>
        <v>6.260000000000001</v>
      </c>
      <c r="K36" s="31">
        <f t="shared" si="14"/>
        <v>6.500000000000001</v>
      </c>
      <c r="L36" s="34">
        <f>2.11+0.19</f>
        <v>2.3</v>
      </c>
      <c r="M36" s="30">
        <f t="shared" si="15"/>
        <v>2.5599999999999996</v>
      </c>
      <c r="N36" s="31">
        <f t="shared" si="15"/>
        <v>2.8199999999999994</v>
      </c>
      <c r="O36" s="35">
        <f>1.86+0.07</f>
        <v>1.9300000000000002</v>
      </c>
      <c r="P36" s="30">
        <f t="shared" si="16"/>
        <v>2.16</v>
      </c>
      <c r="Q36" s="31">
        <f t="shared" si="16"/>
        <v>2.39</v>
      </c>
      <c r="R36" s="36">
        <f>3.94+0.32</f>
        <v>4.26</v>
      </c>
      <c r="S36" s="30">
        <f t="shared" si="17"/>
        <v>4.529999999999999</v>
      </c>
      <c r="T36" s="31">
        <f t="shared" si="17"/>
        <v>4.799999999999999</v>
      </c>
      <c r="U36" s="62"/>
      <c r="V36" s="62"/>
      <c r="W36" s="62"/>
      <c r="X36" s="62"/>
    </row>
    <row r="37" spans="1:24" ht="15">
      <c r="A37" s="76"/>
      <c r="B37" s="66">
        <v>36</v>
      </c>
      <c r="C37" s="29">
        <f>1.65+0.09</f>
        <v>1.74</v>
      </c>
      <c r="D37" s="30">
        <f t="shared" si="12"/>
        <v>1.98</v>
      </c>
      <c r="E37" s="31">
        <f t="shared" si="12"/>
        <v>2.2199999999999998</v>
      </c>
      <c r="F37" s="32">
        <f>3.76+0.28</f>
        <v>4.04</v>
      </c>
      <c r="G37" s="30">
        <f t="shared" si="13"/>
        <v>4.29</v>
      </c>
      <c r="H37" s="31">
        <f t="shared" si="13"/>
        <v>4.54</v>
      </c>
      <c r="I37" s="33">
        <f>5.61+0.38</f>
        <v>5.99</v>
      </c>
      <c r="J37" s="30">
        <f t="shared" si="14"/>
        <v>6.23</v>
      </c>
      <c r="K37" s="31">
        <f t="shared" si="14"/>
        <v>6.470000000000001</v>
      </c>
      <c r="L37" s="34">
        <f>2.11+0.18</f>
        <v>2.29</v>
      </c>
      <c r="M37" s="30">
        <f t="shared" si="15"/>
        <v>2.55</v>
      </c>
      <c r="N37" s="31">
        <f t="shared" si="15"/>
        <v>2.8099999999999996</v>
      </c>
      <c r="O37" s="35">
        <f>1.86+0.06</f>
        <v>1.9200000000000002</v>
      </c>
      <c r="P37" s="30">
        <f t="shared" si="16"/>
        <v>2.1500000000000004</v>
      </c>
      <c r="Q37" s="31">
        <f t="shared" si="16"/>
        <v>2.3800000000000003</v>
      </c>
      <c r="R37" s="36">
        <f>3.94+0.3</f>
        <v>4.24</v>
      </c>
      <c r="S37" s="30">
        <f t="shared" si="17"/>
        <v>4.51</v>
      </c>
      <c r="T37" s="31">
        <f t="shared" si="17"/>
        <v>4.779999999999999</v>
      </c>
      <c r="U37" s="62"/>
      <c r="V37" s="62"/>
      <c r="W37" s="62"/>
      <c r="X37" s="62"/>
    </row>
    <row r="38" spans="1:24" ht="15">
      <c r="A38" s="76"/>
      <c r="B38" s="66">
        <v>48</v>
      </c>
      <c r="C38" s="29">
        <f>1.65+0.07</f>
        <v>1.72</v>
      </c>
      <c r="D38" s="30">
        <f t="shared" si="12"/>
        <v>1.96</v>
      </c>
      <c r="E38" s="31">
        <f t="shared" si="12"/>
        <v>2.2</v>
      </c>
      <c r="F38" s="32">
        <f>3.76+0.23</f>
        <v>3.9899999999999998</v>
      </c>
      <c r="G38" s="30">
        <f t="shared" si="13"/>
        <v>4.24</v>
      </c>
      <c r="H38" s="31">
        <f t="shared" si="13"/>
        <v>4.49</v>
      </c>
      <c r="I38" s="33">
        <f>5.61+0.29</f>
        <v>5.9</v>
      </c>
      <c r="J38" s="30">
        <f t="shared" si="14"/>
        <v>6.140000000000001</v>
      </c>
      <c r="K38" s="31">
        <f t="shared" si="14"/>
        <v>6.380000000000001</v>
      </c>
      <c r="L38" s="34">
        <f>2.11+0.1</f>
        <v>2.21</v>
      </c>
      <c r="M38" s="30">
        <f t="shared" si="15"/>
        <v>2.4699999999999998</v>
      </c>
      <c r="N38" s="31">
        <f t="shared" si="15"/>
        <v>2.7299999999999995</v>
      </c>
      <c r="O38" s="35">
        <f>1.86+0.03</f>
        <v>1.8900000000000001</v>
      </c>
      <c r="P38" s="30">
        <f t="shared" si="16"/>
        <v>2.12</v>
      </c>
      <c r="Q38" s="31">
        <f t="shared" si="16"/>
        <v>2.35</v>
      </c>
      <c r="R38" s="36">
        <f>3.94+0.25</f>
        <v>4.1899999999999995</v>
      </c>
      <c r="S38" s="30">
        <f t="shared" si="17"/>
        <v>4.459999999999999</v>
      </c>
      <c r="T38" s="31">
        <f t="shared" si="17"/>
        <v>4.729999999999999</v>
      </c>
      <c r="U38" s="62"/>
      <c r="V38" s="62"/>
      <c r="W38" s="62"/>
      <c r="X38" s="62"/>
    </row>
    <row r="39" spans="1:24" ht="15">
      <c r="A39" s="76"/>
      <c r="B39" s="66">
        <v>60</v>
      </c>
      <c r="C39" s="29">
        <f>1.65+0.05</f>
        <v>1.7</v>
      </c>
      <c r="D39" s="30">
        <f t="shared" si="12"/>
        <v>1.94</v>
      </c>
      <c r="E39" s="31">
        <f t="shared" si="12"/>
        <v>2.1799999999999997</v>
      </c>
      <c r="F39" s="32">
        <f>3.76+0.19</f>
        <v>3.9499999999999997</v>
      </c>
      <c r="G39" s="30">
        <f t="shared" si="13"/>
        <v>4.199999999999999</v>
      </c>
      <c r="H39" s="31">
        <f t="shared" si="13"/>
        <v>4.449999999999999</v>
      </c>
      <c r="I39" s="33">
        <f>5.61+0.23</f>
        <v>5.840000000000001</v>
      </c>
      <c r="J39" s="30">
        <f t="shared" si="14"/>
        <v>6.080000000000001</v>
      </c>
      <c r="K39" s="31">
        <f t="shared" si="14"/>
        <v>6.320000000000001</v>
      </c>
      <c r="L39" s="34">
        <f>2.11+0.14</f>
        <v>2.25</v>
      </c>
      <c r="M39" s="30">
        <f t="shared" si="15"/>
        <v>2.51</v>
      </c>
      <c r="N39" s="31">
        <f t="shared" si="15"/>
        <v>2.7699999999999996</v>
      </c>
      <c r="O39" s="35">
        <f>1.86+0.02</f>
        <v>1.8800000000000001</v>
      </c>
      <c r="P39" s="30">
        <f t="shared" si="16"/>
        <v>2.1100000000000003</v>
      </c>
      <c r="Q39" s="31">
        <f t="shared" si="16"/>
        <v>2.3400000000000003</v>
      </c>
      <c r="R39" s="36">
        <f>3.94+0.21</f>
        <v>4.15</v>
      </c>
      <c r="S39" s="30">
        <f t="shared" si="17"/>
        <v>4.42</v>
      </c>
      <c r="T39" s="31">
        <f t="shared" si="17"/>
        <v>4.6899999999999995</v>
      </c>
      <c r="U39" s="62"/>
      <c r="V39" s="62"/>
      <c r="W39" s="62"/>
      <c r="X39" s="62"/>
    </row>
    <row r="40" spans="1:24" ht="15">
      <c r="A40" s="76"/>
      <c r="B40" s="66">
        <v>72</v>
      </c>
      <c r="C40" s="43">
        <f>1.65+0.04</f>
        <v>1.69</v>
      </c>
      <c r="D40" s="44">
        <f t="shared" si="12"/>
        <v>1.93</v>
      </c>
      <c r="E40" s="45">
        <f t="shared" si="12"/>
        <v>2.17</v>
      </c>
      <c r="F40" s="46">
        <f>3.76+0.16</f>
        <v>3.92</v>
      </c>
      <c r="G40" s="44">
        <f t="shared" si="13"/>
        <v>4.17</v>
      </c>
      <c r="H40" s="45">
        <f t="shared" si="13"/>
        <v>4.42</v>
      </c>
      <c r="I40" s="47">
        <f>5.61+0.17</f>
        <v>5.78</v>
      </c>
      <c r="J40" s="44">
        <f t="shared" si="14"/>
        <v>6.0200000000000005</v>
      </c>
      <c r="K40" s="45">
        <f t="shared" si="14"/>
        <v>6.260000000000001</v>
      </c>
      <c r="L40" s="48">
        <f>2.11+0.12</f>
        <v>2.23</v>
      </c>
      <c r="M40" s="44">
        <f t="shared" si="15"/>
        <v>2.49</v>
      </c>
      <c r="N40" s="45">
        <f t="shared" si="15"/>
        <v>2.75</v>
      </c>
      <c r="O40" s="49">
        <f>1.86+0.01</f>
        <v>1.87</v>
      </c>
      <c r="P40" s="44">
        <f t="shared" si="16"/>
        <v>2.1</v>
      </c>
      <c r="Q40" s="45">
        <f t="shared" si="16"/>
        <v>2.33</v>
      </c>
      <c r="R40" s="50">
        <f>3.94+0.17</f>
        <v>4.11</v>
      </c>
      <c r="S40" s="44">
        <f t="shared" si="17"/>
        <v>4.380000000000001</v>
      </c>
      <c r="T40" s="45">
        <f t="shared" si="17"/>
        <v>4.65</v>
      </c>
      <c r="U40" s="62"/>
      <c r="V40" s="62"/>
      <c r="W40" s="62"/>
      <c r="X40" s="62"/>
    </row>
    <row r="41" spans="1:24" s="60" customFormat="1" ht="11.25">
      <c r="A41" s="58"/>
      <c r="B41" s="52" t="s">
        <v>9</v>
      </c>
      <c r="C41" s="53">
        <v>0.24</v>
      </c>
      <c r="D41" s="53"/>
      <c r="E41" s="53"/>
      <c r="F41" s="53">
        <v>0.25</v>
      </c>
      <c r="G41" s="53"/>
      <c r="H41" s="53"/>
      <c r="I41" s="53">
        <v>0.24</v>
      </c>
      <c r="J41" s="53"/>
      <c r="K41" s="53"/>
      <c r="L41" s="53">
        <v>0.26</v>
      </c>
      <c r="M41" s="53"/>
      <c r="N41" s="53"/>
      <c r="O41" s="53">
        <v>0.23</v>
      </c>
      <c r="P41" s="53"/>
      <c r="Q41" s="53"/>
      <c r="R41" s="53">
        <v>0.27</v>
      </c>
      <c r="S41" s="53"/>
      <c r="T41" s="53"/>
      <c r="U41" s="67"/>
      <c r="V41" s="67"/>
      <c r="W41" s="67"/>
      <c r="X41" s="67"/>
    </row>
    <row r="42" spans="1:24" s="60" customFormat="1" ht="11.25">
      <c r="A42" s="58"/>
      <c r="B42" s="52" t="s">
        <v>10</v>
      </c>
      <c r="C42" s="53">
        <v>2.06</v>
      </c>
      <c r="D42" s="68"/>
      <c r="E42" s="68"/>
      <c r="F42" s="53">
        <v>4.17</v>
      </c>
      <c r="G42" s="53"/>
      <c r="H42" s="53"/>
      <c r="I42" s="53">
        <v>6.02</v>
      </c>
      <c r="J42" s="53"/>
      <c r="K42" s="53"/>
      <c r="L42" s="53">
        <v>2.52</v>
      </c>
      <c r="M42" s="53"/>
      <c r="N42" s="53"/>
      <c r="O42" s="53">
        <v>2.27</v>
      </c>
      <c r="P42" s="53"/>
      <c r="Q42" s="53"/>
      <c r="R42" s="53">
        <v>4.35</v>
      </c>
      <c r="S42" s="53"/>
      <c r="T42" s="53"/>
      <c r="U42" s="67"/>
      <c r="V42" s="67"/>
      <c r="W42" s="67"/>
      <c r="X42" s="67"/>
    </row>
    <row r="43" spans="1:24" s="27" customFormat="1" ht="13.5" customHeight="1">
      <c r="A43" s="76" t="s">
        <v>13</v>
      </c>
      <c r="B43" s="28">
        <v>7</v>
      </c>
      <c r="C43" s="18">
        <f>1.65+0.03</f>
        <v>1.68</v>
      </c>
      <c r="D43" s="19">
        <f aca="true" t="shared" si="18" ref="D43:E46">C43+0.17</f>
        <v>1.8499999999999999</v>
      </c>
      <c r="E43" s="20">
        <f t="shared" si="18"/>
        <v>2.02</v>
      </c>
      <c r="F43" s="21">
        <f>3.76+0.15</f>
        <v>3.9099999999999997</v>
      </c>
      <c r="G43" s="19">
        <f aca="true" t="shared" si="19" ref="G43:H46">F43+0.17</f>
        <v>4.08</v>
      </c>
      <c r="H43" s="20">
        <f t="shared" si="19"/>
        <v>4.25</v>
      </c>
      <c r="I43" s="22">
        <f>5.61+0.16</f>
        <v>5.7700000000000005</v>
      </c>
      <c r="J43" s="19">
        <f aca="true" t="shared" si="20" ref="J43:K46">I43+0.21</f>
        <v>5.98</v>
      </c>
      <c r="K43" s="69">
        <f t="shared" si="20"/>
        <v>6.19</v>
      </c>
      <c r="L43" s="23">
        <f>2.11+0.12</f>
        <v>2.23</v>
      </c>
      <c r="M43" s="19">
        <f aca="true" t="shared" si="21" ref="M43:N46">L43+0.15</f>
        <v>2.38</v>
      </c>
      <c r="N43" s="20">
        <f t="shared" si="21"/>
        <v>2.53</v>
      </c>
      <c r="O43" s="24">
        <f>1.86+0.01</f>
        <v>1.87</v>
      </c>
      <c r="P43" s="19">
        <f aca="true" t="shared" si="22" ref="P43:Q46">O43+0.14</f>
        <v>2.0100000000000002</v>
      </c>
      <c r="Q43" s="20">
        <f t="shared" si="22"/>
        <v>2.1500000000000004</v>
      </c>
      <c r="R43" s="25">
        <f>3.94+0.17</f>
        <v>4.11</v>
      </c>
      <c r="S43" s="19">
        <f aca="true" t="shared" si="23" ref="S43:T46">R43+0.22</f>
        <v>4.33</v>
      </c>
      <c r="T43" s="20">
        <f t="shared" si="23"/>
        <v>4.55</v>
      </c>
      <c r="U43" s="61"/>
      <c r="V43" s="61"/>
      <c r="W43" s="61"/>
      <c r="X43" s="61"/>
    </row>
    <row r="44" spans="1:24" ht="15">
      <c r="A44" s="76"/>
      <c r="B44" s="28">
        <v>8</v>
      </c>
      <c r="C44" s="29">
        <f>1.65+0.03</f>
        <v>1.68</v>
      </c>
      <c r="D44" s="30">
        <f t="shared" si="18"/>
        <v>1.8499999999999999</v>
      </c>
      <c r="E44" s="31">
        <f t="shared" si="18"/>
        <v>2.02</v>
      </c>
      <c r="F44" s="32">
        <f>3.76+0.12</f>
        <v>3.88</v>
      </c>
      <c r="G44" s="30">
        <f t="shared" si="19"/>
        <v>4.05</v>
      </c>
      <c r="H44" s="31">
        <f t="shared" si="19"/>
        <v>4.22</v>
      </c>
      <c r="I44" s="33">
        <f>5.61+0.13</f>
        <v>5.74</v>
      </c>
      <c r="J44" s="30">
        <f t="shared" si="20"/>
        <v>5.95</v>
      </c>
      <c r="K44" s="70">
        <f t="shared" si="20"/>
        <v>6.16</v>
      </c>
      <c r="L44" s="34">
        <f>2.11+0.1</f>
        <v>2.21</v>
      </c>
      <c r="M44" s="30">
        <f t="shared" si="21"/>
        <v>2.36</v>
      </c>
      <c r="N44" s="31">
        <f t="shared" si="21"/>
        <v>2.51</v>
      </c>
      <c r="O44" s="35">
        <f>1.86</f>
        <v>1.86</v>
      </c>
      <c r="P44" s="30">
        <f t="shared" si="22"/>
        <v>2</v>
      </c>
      <c r="Q44" s="31">
        <f t="shared" si="22"/>
        <v>2.14</v>
      </c>
      <c r="R44" s="36">
        <f>3.94+0.14</f>
        <v>4.08</v>
      </c>
      <c r="S44" s="30">
        <f t="shared" si="23"/>
        <v>4.3</v>
      </c>
      <c r="T44" s="31">
        <f t="shared" si="23"/>
        <v>4.52</v>
      </c>
      <c r="U44" s="62"/>
      <c r="V44" s="62"/>
      <c r="W44" s="62"/>
      <c r="X44" s="62"/>
    </row>
    <row r="45" spans="1:24" ht="15">
      <c r="A45" s="76"/>
      <c r="B45" s="28">
        <v>9</v>
      </c>
      <c r="C45" s="29">
        <f>1.65+0.02</f>
        <v>1.67</v>
      </c>
      <c r="D45" s="30">
        <f t="shared" si="18"/>
        <v>1.8399999999999999</v>
      </c>
      <c r="E45" s="31">
        <f t="shared" si="18"/>
        <v>2.01</v>
      </c>
      <c r="F45" s="32">
        <f>3.76+0.1</f>
        <v>3.86</v>
      </c>
      <c r="G45" s="30">
        <f t="shared" si="19"/>
        <v>4.03</v>
      </c>
      <c r="H45" s="31">
        <f t="shared" si="19"/>
        <v>4.2</v>
      </c>
      <c r="I45" s="33">
        <f>5.61+0.1</f>
        <v>5.71</v>
      </c>
      <c r="J45" s="30">
        <f t="shared" si="20"/>
        <v>5.92</v>
      </c>
      <c r="K45" s="70">
        <f t="shared" si="20"/>
        <v>6.13</v>
      </c>
      <c r="L45" s="34">
        <f>2.11+0.09</f>
        <v>2.1999999999999997</v>
      </c>
      <c r="M45" s="30">
        <f t="shared" si="21"/>
        <v>2.3499999999999996</v>
      </c>
      <c r="N45" s="31">
        <f t="shared" si="21"/>
        <v>2.4999999999999996</v>
      </c>
      <c r="O45" s="35">
        <f>1.86</f>
        <v>1.86</v>
      </c>
      <c r="P45" s="30">
        <f t="shared" si="22"/>
        <v>2</v>
      </c>
      <c r="Q45" s="31">
        <f t="shared" si="22"/>
        <v>2.14</v>
      </c>
      <c r="R45" s="36">
        <f>3.94+0.12</f>
        <v>4.06</v>
      </c>
      <c r="S45" s="30">
        <f t="shared" si="23"/>
        <v>4.279999999999999</v>
      </c>
      <c r="T45" s="31">
        <f t="shared" si="23"/>
        <v>4.499999999999999</v>
      </c>
      <c r="U45" s="62"/>
      <c r="V45" s="62"/>
      <c r="W45" s="62"/>
      <c r="X45" s="62"/>
    </row>
    <row r="46" spans="1:24" ht="15">
      <c r="A46" s="76"/>
      <c r="B46" s="28">
        <v>10</v>
      </c>
      <c r="C46" s="43">
        <f>1.65+0.01</f>
        <v>1.66</v>
      </c>
      <c r="D46" s="44">
        <f t="shared" si="18"/>
        <v>1.8299999999999998</v>
      </c>
      <c r="E46" s="45">
        <f t="shared" si="18"/>
        <v>1.9999999999999998</v>
      </c>
      <c r="F46" s="46">
        <f>3.76+0.08</f>
        <v>3.84</v>
      </c>
      <c r="G46" s="44">
        <f t="shared" si="19"/>
        <v>4.01</v>
      </c>
      <c r="H46" s="45">
        <f t="shared" si="19"/>
        <v>4.18</v>
      </c>
      <c r="I46" s="47">
        <f>5.61+0.08</f>
        <v>5.69</v>
      </c>
      <c r="J46" s="44">
        <f t="shared" si="20"/>
        <v>5.9</v>
      </c>
      <c r="K46" s="71">
        <f t="shared" si="20"/>
        <v>6.11</v>
      </c>
      <c r="L46" s="48">
        <f>2.11+0.08</f>
        <v>2.19</v>
      </c>
      <c r="M46" s="44">
        <f t="shared" si="21"/>
        <v>2.34</v>
      </c>
      <c r="N46" s="45">
        <f t="shared" si="21"/>
        <v>2.4899999999999998</v>
      </c>
      <c r="O46" s="49">
        <f>1.86</f>
        <v>1.86</v>
      </c>
      <c r="P46" s="44">
        <f t="shared" si="22"/>
        <v>2</v>
      </c>
      <c r="Q46" s="45">
        <f t="shared" si="22"/>
        <v>2.14</v>
      </c>
      <c r="R46" s="50">
        <f>3.94+0.1</f>
        <v>4.04</v>
      </c>
      <c r="S46" s="44">
        <f t="shared" si="23"/>
        <v>4.26</v>
      </c>
      <c r="T46" s="45">
        <f t="shared" si="23"/>
        <v>4.4799999999999995</v>
      </c>
      <c r="U46" s="62"/>
      <c r="V46" s="62"/>
      <c r="W46" s="62"/>
      <c r="X46" s="62"/>
    </row>
    <row r="47" spans="1:24" s="60" customFormat="1" ht="10.5" customHeight="1">
      <c r="A47" s="76" t="s">
        <v>14</v>
      </c>
      <c r="B47" s="52" t="s">
        <v>9</v>
      </c>
      <c r="C47" s="53">
        <v>0.17</v>
      </c>
      <c r="D47" s="53"/>
      <c r="E47" s="53"/>
      <c r="F47" s="53">
        <v>0.17</v>
      </c>
      <c r="G47" s="53"/>
      <c r="H47" s="53"/>
      <c r="I47" s="53">
        <v>0.21</v>
      </c>
      <c r="J47" s="53"/>
      <c r="K47" s="53"/>
      <c r="L47" s="53">
        <v>0.15</v>
      </c>
      <c r="M47" s="53"/>
      <c r="N47" s="53"/>
      <c r="O47" s="53">
        <v>0.14</v>
      </c>
      <c r="P47" s="53"/>
      <c r="Q47" s="53"/>
      <c r="R47" s="53">
        <v>0.22</v>
      </c>
      <c r="S47" s="53"/>
      <c r="T47" s="53"/>
      <c r="U47" s="67"/>
      <c r="V47" s="67"/>
      <c r="W47" s="67"/>
      <c r="X47" s="67"/>
    </row>
    <row r="48" spans="1:24" s="60" customFormat="1" ht="11.25">
      <c r="A48" s="76"/>
      <c r="B48" s="52" t="s">
        <v>10</v>
      </c>
      <c r="C48" s="53">
        <v>1.94</v>
      </c>
      <c r="D48" s="53"/>
      <c r="E48" s="53"/>
      <c r="F48" s="53">
        <v>4.05</v>
      </c>
      <c r="G48" s="53"/>
      <c r="H48" s="53"/>
      <c r="I48" s="53">
        <v>5.9</v>
      </c>
      <c r="J48" s="53"/>
      <c r="K48" s="53"/>
      <c r="L48" s="53">
        <v>2.4</v>
      </c>
      <c r="M48" s="53"/>
      <c r="N48" s="53"/>
      <c r="O48" s="53">
        <v>2.15</v>
      </c>
      <c r="P48" s="53"/>
      <c r="Q48" s="53"/>
      <c r="R48" s="53">
        <v>4.23</v>
      </c>
      <c r="S48" s="53"/>
      <c r="T48" s="53"/>
      <c r="U48" s="67"/>
      <c r="V48" s="67"/>
      <c r="W48" s="67"/>
      <c r="X48" s="67"/>
    </row>
    <row r="49" spans="1:24" ht="10.5" customHeight="1">
      <c r="A49" s="76"/>
      <c r="B49" s="72"/>
      <c r="C49" s="73">
        <v>1.65</v>
      </c>
      <c r="D49" s="73"/>
      <c r="E49" s="73"/>
      <c r="F49" s="73">
        <v>3.76</v>
      </c>
      <c r="G49" s="73"/>
      <c r="H49" s="73"/>
      <c r="I49" s="73">
        <v>5.61</v>
      </c>
      <c r="J49" s="73"/>
      <c r="K49" s="73"/>
      <c r="L49" s="73">
        <v>2.11</v>
      </c>
      <c r="M49" s="73"/>
      <c r="N49" s="73"/>
      <c r="O49" s="73">
        <v>1.86</v>
      </c>
      <c r="P49" s="73"/>
      <c r="Q49" s="73"/>
      <c r="R49" s="73">
        <v>3.94</v>
      </c>
      <c r="S49" s="73"/>
      <c r="T49" s="73"/>
      <c r="U49" s="62"/>
      <c r="V49" s="62"/>
      <c r="W49" s="62"/>
      <c r="X49" s="62"/>
    </row>
    <row r="50" spans="1:256" ht="12.75">
      <c r="A50" s="76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4" s="75" customFormat="1" ht="28.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4"/>
      <c r="V51" s="74"/>
      <c r="W51" s="74"/>
      <c r="X51" s="74"/>
    </row>
    <row r="52" spans="3:24" ht="12.75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3:24" ht="12.75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3:24" ht="12.75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</row>
    <row r="55" spans="3:24" ht="12.7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</row>
    <row r="56" spans="3:24" ht="12.75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3:24" ht="12.75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3:24" ht="12.7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3:24" ht="12.75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3:24" ht="12.75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3:24" ht="12.7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3:24" ht="12.75"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</row>
    <row r="63" spans="3:24" ht="12.75"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  <row r="64" spans="3:24" ht="12.75"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3:24" ht="12.75"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3:24" ht="12.75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6">
    <mergeCell ref="A47:A50"/>
    <mergeCell ref="A51:T51"/>
    <mergeCell ref="A2:A12"/>
    <mergeCell ref="A15:A25"/>
    <mergeCell ref="A27:A40"/>
    <mergeCell ref="A43:A46"/>
  </mergeCells>
  <printOptions/>
  <pageMargins left="0.04027777777777778" right="0.04375" top="0.8236111111111111" bottom="0.49027777777777776" header="0.49027777777777776" footer="0.5118055555555555"/>
  <pageSetup horizontalDpi="300" verticalDpi="300" orientation="landscape" scale="95" r:id="rId2"/>
  <headerFooter alignWithMargins="0">
    <oddHeader>&amp;C&amp;"Times New Roman,Bold"&amp;12Auditory Brainstem Response
Latency Chart</oddHeader>
  </headerFooter>
  <rowBreaks count="1" manualBreakCount="1">
    <brk id="26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"/>
  <sheetViews>
    <sheetView zoomScale="170" zoomScaleNormal="170" zoomScalePageLayoutView="0" workbookViewId="0" topLeftCell="A1">
      <selection activeCell="A1" sqref="A1:IV16384"/>
    </sheetView>
  </sheetViews>
  <sheetFormatPr defaultColWidth="9.140625" defaultRowHeight="12.75"/>
  <cols>
    <col min="1" max="20" width="6.7109375" style="88" customWidth="1"/>
  </cols>
  <sheetData>
    <row r="1" spans="1:66" s="16" customFormat="1" ht="17.25" thickBot="1">
      <c r="A1" s="78"/>
      <c r="B1" s="79"/>
      <c r="C1" s="80"/>
      <c r="D1" s="81"/>
      <c r="E1" s="82"/>
      <c r="F1" s="83"/>
      <c r="G1" s="81"/>
      <c r="H1" s="82"/>
      <c r="I1" s="84"/>
      <c r="J1" s="81"/>
      <c r="K1" s="82"/>
      <c r="L1" s="85"/>
      <c r="M1" s="81"/>
      <c r="N1" s="82"/>
      <c r="O1" s="86"/>
      <c r="P1" s="81"/>
      <c r="Q1" s="82"/>
      <c r="R1" s="87"/>
      <c r="S1" s="81"/>
      <c r="T1" s="82"/>
      <c r="U1" s="14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2:20" ht="12.75">
      <c r="B2" s="89"/>
      <c r="C2" s="90"/>
      <c r="D2" s="91"/>
      <c r="E2" s="92"/>
      <c r="F2" s="93"/>
      <c r="G2" s="91"/>
      <c r="H2" s="92"/>
      <c r="I2" s="94"/>
      <c r="J2" s="91"/>
      <c r="K2" s="92"/>
      <c r="L2" s="95"/>
      <c r="M2" s="91"/>
      <c r="N2" s="92"/>
      <c r="O2" s="96"/>
      <c r="P2" s="91"/>
      <c r="Q2" s="92"/>
      <c r="R2" s="97"/>
      <c r="S2" s="91"/>
      <c r="T2" s="9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0" zoomScaleNormal="17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Teri</cp:lastModifiedBy>
  <cp:lastPrinted>2011-07-27T13:38:23Z</cp:lastPrinted>
  <dcterms:created xsi:type="dcterms:W3CDTF">2011-07-26T16:14:54Z</dcterms:created>
  <dcterms:modified xsi:type="dcterms:W3CDTF">2012-01-23T20:54:13Z</dcterms:modified>
  <cp:category/>
  <cp:version/>
  <cp:contentType/>
  <cp:contentStatus/>
</cp:coreProperties>
</file>